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25" windowWidth="12120" windowHeight="8385" activeTab="0"/>
  </bookViews>
  <sheets>
    <sheet name="02-03 template" sheetId="1" r:id="rId1"/>
  </sheets>
  <definedNames>
    <definedName name="_xlnm.Print_Area" localSheetId="0">'02-03 template'!$B$1:$D$85</definedName>
  </definedNames>
  <calcPr fullCalcOnLoad="1"/>
</workbook>
</file>

<file path=xl/sharedStrings.xml><?xml version="1.0" encoding="utf-8"?>
<sst xmlns="http://schemas.openxmlformats.org/spreadsheetml/2006/main" count="134" uniqueCount="116">
  <si>
    <t>Arkansas Department of Education</t>
  </si>
  <si>
    <t>This projection is specifically limited to State Equalization Aid, Local Revenues to 25 mills,</t>
  </si>
  <si>
    <t xml:space="preserve">     Debt Service Funding Supplement, Additional Base Funding, and Incentive Funding</t>
  </si>
  <si>
    <t>This projection is based on the current DFA Revenue Forecast for the 2003 fiscal year</t>
  </si>
  <si>
    <t>The data in this projection will change</t>
  </si>
  <si>
    <t>State Equalization Aid Calculation</t>
  </si>
  <si>
    <t>2002-03</t>
  </si>
  <si>
    <t>Ln 1</t>
  </si>
  <si>
    <t>State Assessment</t>
  </si>
  <si>
    <t>Ln 2</t>
  </si>
  <si>
    <t>98% Collections Rate</t>
  </si>
  <si>
    <t>Ln 3</t>
  </si>
  <si>
    <t xml:space="preserve">Amendment 74 </t>
  </si>
  <si>
    <t>Ln 4</t>
  </si>
  <si>
    <t>75% Miscellaneous Funds</t>
  </si>
  <si>
    <t>Ln 5</t>
  </si>
  <si>
    <t>State Equalization Aid</t>
  </si>
  <si>
    <t>Ln 6</t>
  </si>
  <si>
    <t>Prior Year Three Quarter Average ADMs</t>
  </si>
  <si>
    <t>Ln 7</t>
  </si>
  <si>
    <t>Base Local Revenue per Student [{(ln1*ln2*ln3)+ln4+ln5}/ln6)]</t>
  </si>
  <si>
    <t>Ln 8</t>
  </si>
  <si>
    <t>School District Assessment</t>
  </si>
  <si>
    <t>Ln 9</t>
  </si>
  <si>
    <t>Ln 10</t>
  </si>
  <si>
    <t>Ln 11</t>
  </si>
  <si>
    <t>Ln 12</t>
  </si>
  <si>
    <t>Ln 13</t>
  </si>
  <si>
    <t>Local Revenue per Student [{(ln8*ln9*ln10)+ln11}/ln12)]</t>
  </si>
  <si>
    <t>Ln 14</t>
  </si>
  <si>
    <t>State Equalization Aid per Student   (ln7-ln13)</t>
  </si>
  <si>
    <t>Ln 15</t>
  </si>
  <si>
    <t>District State Equalization Aid  (ln14*ln12)</t>
  </si>
  <si>
    <t>Ln 16</t>
  </si>
  <si>
    <t>Local Revenue per Student  (ln 13)</t>
  </si>
  <si>
    <t>Ln 17</t>
  </si>
  <si>
    <t>State Equalization Aid per Student   (ln14)</t>
  </si>
  <si>
    <t>Ln 18</t>
  </si>
  <si>
    <t>State Wealth Index  [1-(ln16/ln17)]</t>
  </si>
  <si>
    <t>Debt Service Funding Supplement Calculation</t>
  </si>
  <si>
    <t>Ln 19</t>
  </si>
  <si>
    <t>Debt Payment</t>
  </si>
  <si>
    <t>Ln 20</t>
  </si>
  <si>
    <t>District Assessment</t>
  </si>
  <si>
    <t>Ln 21</t>
  </si>
  <si>
    <t>Required Debt Mills  (ln19/ln20)</t>
  </si>
  <si>
    <t>Ln 22</t>
  </si>
  <si>
    <t>State Wealth Index</t>
  </si>
  <si>
    <t>Ln 23</t>
  </si>
  <si>
    <t>Ln 24</t>
  </si>
  <si>
    <t>Funding Factor</t>
  </si>
  <si>
    <t>Ln 25</t>
  </si>
  <si>
    <t>Debt Service Funding Supplement  (ln21*ln22*ln23*ln24)</t>
  </si>
  <si>
    <t>Additional Base Funding Calculation</t>
  </si>
  <si>
    <t>ln 26</t>
  </si>
  <si>
    <t>ln 27</t>
  </si>
  <si>
    <t>ln 28</t>
  </si>
  <si>
    <t>District Revenues  (ln26*ln27)</t>
  </si>
  <si>
    <t>ln 29</t>
  </si>
  <si>
    <t>ln 30</t>
  </si>
  <si>
    <t xml:space="preserve">Debt Service Funding Supplement </t>
  </si>
  <si>
    <t>ln 31</t>
  </si>
  <si>
    <t>Available M&amp;O Mills  [(ln28-ln29+ln30)/ln26]</t>
  </si>
  <si>
    <t>ln 32</t>
  </si>
  <si>
    <t>100% Miscellaneous Revenues</t>
  </si>
  <si>
    <t>ln 33</t>
  </si>
  <si>
    <t>Available M&amp;O Revenue  [{(ln26*.98)*ln31}+ln32]</t>
  </si>
  <si>
    <t>ln 34</t>
  </si>
  <si>
    <t>Current Year ADMs</t>
  </si>
  <si>
    <t>ln 35</t>
  </si>
  <si>
    <t>State Equalization Funding</t>
  </si>
  <si>
    <t>ln 36</t>
  </si>
  <si>
    <t>General Facilities Funding</t>
  </si>
  <si>
    <t>ln 37</t>
  </si>
  <si>
    <t>Student Growth Funding</t>
  </si>
  <si>
    <t>ln 38</t>
  </si>
  <si>
    <t>Revenue Loss Funding</t>
  </si>
  <si>
    <t>ln 39</t>
  </si>
  <si>
    <t>Available M&amp;O Revenue  (ln33)</t>
  </si>
  <si>
    <t>ln 40</t>
  </si>
  <si>
    <t>Greater of Prior Year or Current Year ADMs</t>
  </si>
  <si>
    <t>ln 41</t>
  </si>
  <si>
    <t>Total State and Local Revenue per ADM [(ln35+ln36+ln37+ln38+ln39)/ln40]</t>
  </si>
  <si>
    <t>ln 42</t>
  </si>
  <si>
    <t>95th Percentile MS&amp;LR/ADM</t>
  </si>
  <si>
    <t>ln 43</t>
  </si>
  <si>
    <t>Additional Base Funding / ADM (ln42-ln41)</t>
  </si>
  <si>
    <t>ln 44</t>
  </si>
  <si>
    <t>Total ABF [(if ln41&gt;0) then ln43*ln40]</t>
  </si>
  <si>
    <t>Incentive Funding Calculation</t>
  </si>
  <si>
    <t>ln 45</t>
  </si>
  <si>
    <t>Total Assessment</t>
  </si>
  <si>
    <t>ln 46</t>
  </si>
  <si>
    <t>URT - Additional M&amp;O Mills  (ln31 - .025)</t>
  </si>
  <si>
    <t>ln 47</t>
  </si>
  <si>
    <t>ln 48</t>
  </si>
  <si>
    <t>Adnl M&amp;O Revs/ADM [{(ln45*.98)*ln46}/ln47]</t>
  </si>
  <si>
    <t>ln 49</t>
  </si>
  <si>
    <t>25% of Misc Funds / ADM  [(ln32*.25)/ln47]</t>
  </si>
  <si>
    <t>ln 50</t>
  </si>
  <si>
    <t>Total State and Local Revenue per ADM  (ln41)</t>
  </si>
  <si>
    <t>ln 51</t>
  </si>
  <si>
    <t xml:space="preserve"> ln50-(ln48+ln49)</t>
  </si>
  <si>
    <t>ln 52</t>
  </si>
  <si>
    <t xml:space="preserve"> ln42-ln51</t>
  </si>
  <si>
    <t>ln 53</t>
  </si>
  <si>
    <t>ABF / ADM  (ln43)</t>
  </si>
  <si>
    <t>ln 54</t>
  </si>
  <si>
    <t>Incentive Funding [{(ln52-ln53)*.5}*ln47]</t>
  </si>
  <si>
    <t xml:space="preserve">Millage rate </t>
  </si>
  <si>
    <t>Funding Projections as of February 1, 2002</t>
  </si>
  <si>
    <t>Please fill in the purple blanks</t>
  </si>
  <si>
    <t>District Data</t>
  </si>
  <si>
    <t>The results of this template are not to be used for Uniform Rate of Tax estimates</t>
  </si>
  <si>
    <t>Total State Equalization Aid, Debt Service Funding Supplement, Additional</t>
  </si>
  <si>
    <t xml:space="preserve">     Base Funding and Incentive Funding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</si>
</sst>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mmmm\ d\,\ yyyy"/>
    <numFmt numFmtId="166" formatCode="0.0%"/>
    <numFmt numFmtId="167" formatCode="_(* #,##0_);_(* \(#,##0\);_(* &quot;-&quot;??_);_(@_)"/>
    <numFmt numFmtId="168" formatCode="0.00000"/>
    <numFmt numFmtId="169" formatCode="_(* #,##0.0000_);_(* \(#,##0.0000\);_(* &quot;-&quot;??_);_(@_)"/>
    <numFmt numFmtId="170" formatCode="_(* #,##0.0_);_(* \(#,##0.0\);_(* &quot;-&quot;??_);_(@_)"/>
    <numFmt numFmtId="171" formatCode="_(* #,##0.000_);_(* \(#,##0.000\);_(* &quot;-&quot;??_);_(@_)"/>
    <numFmt numFmtId="172" formatCode="0.0000"/>
    <numFmt numFmtId="173" formatCode="0.000"/>
    <numFmt numFmtId="174" formatCode="0.0"/>
  </numFmts>
  <fonts count="7">
    <font>
      <sz val="12"/>
      <name val="Tahoma"/>
      <family val="0"/>
    </font>
    <font>
      <b/>
      <sz val="12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164" fontId="2" fillId="0" borderId="0" xfId="15" applyNumberFormat="1" applyFont="1" applyAlignment="1">
      <alignment/>
    </xf>
    <xf numFmtId="165" fontId="1" fillId="0" borderId="0" xfId="19" applyNumberFormat="1" applyFont="1" applyAlignment="1">
      <alignment horizontal="left"/>
      <protection/>
    </xf>
    <xf numFmtId="166" fontId="1" fillId="0" borderId="0" xfId="2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/>
    </xf>
    <xf numFmtId="43" fontId="2" fillId="0" borderId="0" xfId="15" applyFont="1" applyAlignment="1">
      <alignment horizontal="center"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3" fontId="2" fillId="0" borderId="0" xfId="15" applyNumberFormat="1" applyFont="1" applyAlignment="1">
      <alignment/>
    </xf>
    <xf numFmtId="43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43" fontId="2" fillId="0" borderId="0" xfId="15" applyFont="1" applyAlignment="1">
      <alignment horizontal="right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7" fontId="5" fillId="0" borderId="0" xfId="15" applyNumberFormat="1" applyFont="1" applyAlignment="1">
      <alignment/>
    </xf>
    <xf numFmtId="167" fontId="5" fillId="0" borderId="0" xfId="15" applyNumberFormat="1" applyFont="1" applyAlignment="1">
      <alignment horizontal="right"/>
    </xf>
    <xf numFmtId="43" fontId="5" fillId="0" borderId="0" xfId="15" applyNumberFormat="1" applyFont="1" applyAlignment="1">
      <alignment/>
    </xf>
    <xf numFmtId="167" fontId="2" fillId="2" borderId="0" xfId="15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43" fontId="2" fillId="2" borderId="0" xfId="15" applyNumberFormat="1" applyFont="1" applyFill="1" applyAlignment="1" applyProtection="1">
      <alignment horizontal="center"/>
      <protection locked="0"/>
    </xf>
    <xf numFmtId="164" fontId="2" fillId="2" borderId="0" xfId="15" applyNumberFormat="1" applyFont="1" applyFill="1" applyAlignment="1" applyProtection="1">
      <alignment horizontal="center"/>
      <protection locked="0"/>
    </xf>
    <xf numFmtId="43" fontId="2" fillId="2" borderId="0" xfId="15" applyFont="1" applyFill="1" applyAlignment="1" applyProtection="1">
      <alignment horizontal="center"/>
      <protection locked="0"/>
    </xf>
    <xf numFmtId="167" fontId="2" fillId="0" borderId="0" xfId="0" applyNumberFormat="1" applyFont="1" applyAlignment="1">
      <alignment horizontal="right"/>
    </xf>
    <xf numFmtId="0" fontId="1" fillId="2" borderId="0" xfId="0" applyFont="1" applyFill="1" applyAlignment="1">
      <alignment/>
    </xf>
    <xf numFmtId="15" fontId="1" fillId="2" borderId="0" xfId="0" applyNumberFormat="1" applyFont="1" applyFill="1" applyAlignment="1">
      <alignment horizontal="left"/>
    </xf>
    <xf numFmtId="167" fontId="2" fillId="0" borderId="0" xfId="15" applyNumberFormat="1" applyFont="1" applyAlignment="1">
      <alignment horizontal="right"/>
    </xf>
    <xf numFmtId="167" fontId="0" fillId="0" borderId="0" xfId="0" applyNumberFormat="1" applyAlignment="1">
      <alignment/>
    </xf>
    <xf numFmtId="43" fontId="2" fillId="0" borderId="0" xfId="0" applyNumberFormat="1" applyFont="1" applyAlignment="1">
      <alignment horizontal="right"/>
    </xf>
    <xf numFmtId="168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0"/>
  <sheetViews>
    <sheetView tabSelected="1" workbookViewId="0" topLeftCell="B1">
      <selection activeCell="C7" sqref="C7"/>
    </sheetView>
  </sheetViews>
  <sheetFormatPr defaultColWidth="8.88671875" defaultRowHeight="15"/>
  <cols>
    <col min="2" max="2" width="6.77734375" style="2" customWidth="1"/>
    <col min="3" max="3" width="65.10546875" style="2" bestFit="1" customWidth="1"/>
    <col min="4" max="4" width="15.99609375" style="2" customWidth="1"/>
    <col min="5" max="5" width="10.4453125" style="0" bestFit="1" customWidth="1"/>
    <col min="6" max="6" width="11.4453125" style="0" bestFit="1" customWidth="1"/>
  </cols>
  <sheetData>
    <row r="1" ht="19.5">
      <c r="B1" s="1" t="s">
        <v>0</v>
      </c>
    </row>
    <row r="2" spans="2:4" ht="21">
      <c r="B2" s="35" t="s">
        <v>110</v>
      </c>
      <c r="C2" s="36"/>
      <c r="D2" s="3"/>
    </row>
    <row r="3" spans="2:4" ht="19.5">
      <c r="B3" s="4" t="s">
        <v>1</v>
      </c>
      <c r="C3" s="5"/>
      <c r="D3" s="6"/>
    </row>
    <row r="4" spans="2:4" ht="19.5">
      <c r="B4" s="4" t="s">
        <v>2</v>
      </c>
      <c r="C4" s="5"/>
      <c r="D4" s="6"/>
    </row>
    <row r="5" spans="2:4" ht="19.5">
      <c r="B5" s="4" t="s">
        <v>3</v>
      </c>
      <c r="C5" s="5"/>
      <c r="D5" s="6"/>
    </row>
    <row r="6" spans="2:4" ht="19.5">
      <c r="B6" s="4" t="s">
        <v>113</v>
      </c>
      <c r="C6" s="5"/>
      <c r="D6" s="6"/>
    </row>
    <row r="7" spans="2:4" ht="19.5">
      <c r="B7" s="4" t="s">
        <v>4</v>
      </c>
      <c r="C7" s="5"/>
      <c r="D7" s="6"/>
    </row>
    <row r="8" spans="2:4" ht="19.5">
      <c r="B8" s="4" t="s">
        <v>111</v>
      </c>
      <c r="C8" s="5"/>
      <c r="D8" s="6"/>
    </row>
    <row r="9" spans="3:4" ht="19.5">
      <c r="C9" s="7"/>
      <c r="D9" s="6"/>
    </row>
    <row r="10" spans="2:4" ht="19.5">
      <c r="B10" s="5"/>
      <c r="C10" s="5"/>
      <c r="D10" s="8"/>
    </row>
    <row r="11" spans="2:4" ht="19.5">
      <c r="B11" s="1" t="s">
        <v>5</v>
      </c>
      <c r="D11" s="9" t="s">
        <v>6</v>
      </c>
    </row>
    <row r="12" ht="19.5">
      <c r="B12" s="10"/>
    </row>
    <row r="13" spans="2:4" ht="19.5">
      <c r="B13" s="10" t="s">
        <v>7</v>
      </c>
      <c r="C13" s="2" t="s">
        <v>8</v>
      </c>
      <c r="D13" s="11">
        <v>25160240742.8098</v>
      </c>
    </row>
    <row r="14" spans="2:4" ht="19.5">
      <c r="B14" s="10" t="s">
        <v>9</v>
      </c>
      <c r="C14" s="2" t="s">
        <v>12</v>
      </c>
      <c r="D14" s="2">
        <v>0.025</v>
      </c>
    </row>
    <row r="15" spans="2:4" ht="19.5">
      <c r="B15" s="10" t="s">
        <v>11</v>
      </c>
      <c r="C15" s="2" t="s">
        <v>10</v>
      </c>
      <c r="D15" s="2">
        <v>0.98</v>
      </c>
    </row>
    <row r="16" spans="2:4" ht="19.5">
      <c r="B16" s="10" t="s">
        <v>13</v>
      </c>
      <c r="C16" s="2" t="s">
        <v>14</v>
      </c>
      <c r="D16" s="11">
        <v>5571178.50065345</v>
      </c>
    </row>
    <row r="17" spans="2:4" ht="19.5">
      <c r="B17" s="10" t="s">
        <v>15</v>
      </c>
      <c r="C17" s="2" t="s">
        <v>16</v>
      </c>
      <c r="D17" s="11">
        <v>1526034459</v>
      </c>
    </row>
    <row r="18" spans="2:4" ht="19.5">
      <c r="B18" s="10" t="s">
        <v>17</v>
      </c>
      <c r="C18" s="2" t="s">
        <v>18</v>
      </c>
      <c r="D18" s="12">
        <v>443753.7829245473</v>
      </c>
    </row>
    <row r="19" spans="2:4" ht="19.5">
      <c r="B19" s="10" t="s">
        <v>19</v>
      </c>
      <c r="C19" s="2" t="s">
        <v>20</v>
      </c>
      <c r="D19" s="12">
        <f>+(((((D13*D14)*D15)+D16)+D17)/D18)</f>
        <v>4840.593181072057</v>
      </c>
    </row>
    <row r="20" spans="3:4" ht="19.5">
      <c r="C20" s="13"/>
      <c r="D20" s="29"/>
    </row>
    <row r="21" spans="2:4" ht="19.5">
      <c r="B21" s="10" t="s">
        <v>21</v>
      </c>
      <c r="C21" s="2" t="s">
        <v>22</v>
      </c>
      <c r="D21" s="28" t="s">
        <v>112</v>
      </c>
    </row>
    <row r="22" spans="2:4" ht="19.5">
      <c r="B22" s="10" t="s">
        <v>23</v>
      </c>
      <c r="C22" s="2" t="s">
        <v>12</v>
      </c>
      <c r="D22" s="2">
        <v>0.025</v>
      </c>
    </row>
    <row r="23" spans="2:4" ht="19.5">
      <c r="B23" s="10" t="s">
        <v>24</v>
      </c>
      <c r="C23" s="2" t="s">
        <v>10</v>
      </c>
      <c r="D23" s="2">
        <v>0.98</v>
      </c>
    </row>
    <row r="24" spans="2:4" ht="19.5">
      <c r="B24" s="10" t="s">
        <v>25</v>
      </c>
      <c r="C24" s="2" t="s">
        <v>14</v>
      </c>
      <c r="D24" s="28" t="s">
        <v>112</v>
      </c>
    </row>
    <row r="25" spans="2:4" ht="19.5">
      <c r="B25" s="10" t="s">
        <v>26</v>
      </c>
      <c r="C25" s="2" t="s">
        <v>18</v>
      </c>
      <c r="D25" s="33" t="s">
        <v>112</v>
      </c>
    </row>
    <row r="26" spans="2:4" ht="19.5">
      <c r="B26" s="10" t="s">
        <v>27</v>
      </c>
      <c r="C26" s="2" t="s">
        <v>28</v>
      </c>
      <c r="D26" s="12">
        <f>IF(D21="district data","",IF(D24="district data","",IF(D25="district data","",IF(D21&gt;=0,(((D21*D22)*D23)+D24)/D25))))</f>
      </c>
    </row>
    <row r="27" spans="2:4" ht="19.5">
      <c r="B27" s="10"/>
      <c r="C27" s="13"/>
      <c r="D27" s="14"/>
    </row>
    <row r="28" spans="2:4" ht="19.5">
      <c r="B28" s="10" t="s">
        <v>29</v>
      </c>
      <c r="C28" s="2" t="s">
        <v>30</v>
      </c>
      <c r="D28" s="13">
        <f>IF(D26="","",IF(D26&gt;=0,(ROUND(D19-D26,2))))</f>
      </c>
    </row>
    <row r="29" spans="2:13" ht="19.5">
      <c r="B29" s="10" t="s">
        <v>31</v>
      </c>
      <c r="C29" s="2" t="s">
        <v>32</v>
      </c>
      <c r="D29" s="15">
        <f>IF(D28="","",IF(D28&gt;=0,(D28*D25)))</f>
      </c>
      <c r="F29" s="38"/>
      <c r="M29" s="30"/>
    </row>
    <row r="30" spans="2:5" ht="19.5">
      <c r="B30" s="10" t="s">
        <v>33</v>
      </c>
      <c r="C30" s="2" t="s">
        <v>34</v>
      </c>
      <c r="D30" s="13">
        <f>+D26</f>
      </c>
      <c r="E30" s="38"/>
    </row>
    <row r="31" spans="2:4" ht="19.5">
      <c r="B31" s="10" t="s">
        <v>35</v>
      </c>
      <c r="C31" s="2" t="s">
        <v>36</v>
      </c>
      <c r="D31" s="13">
        <f>+D28</f>
      </c>
    </row>
    <row r="32" spans="2:4" ht="19.5">
      <c r="B32" s="10" t="s">
        <v>37</v>
      </c>
      <c r="C32" s="2" t="s">
        <v>38</v>
      </c>
      <c r="D32" s="16">
        <f>IF(D31="","",IF(D31&gt;=0,(((1-(D30/D31))))))</f>
      </c>
    </row>
    <row r="35" spans="2:4" ht="19.5">
      <c r="B35" s="1" t="s">
        <v>39</v>
      </c>
      <c r="D35" s="9" t="s">
        <v>6</v>
      </c>
    </row>
    <row r="36" ht="19.5">
      <c r="B36" s="10"/>
    </row>
    <row r="37" spans="2:4" ht="19.5">
      <c r="B37" s="10" t="s">
        <v>40</v>
      </c>
      <c r="C37" s="2" t="s">
        <v>41</v>
      </c>
      <c r="D37" s="28" t="s">
        <v>112</v>
      </c>
    </row>
    <row r="38" spans="2:4" ht="19.5">
      <c r="B38" s="10" t="s">
        <v>42</v>
      </c>
      <c r="C38" s="2" t="s">
        <v>43</v>
      </c>
      <c r="D38" s="15">
        <f>IF(D21="district data","",IF(D21&gt;=0,D21))</f>
      </c>
    </row>
    <row r="39" spans="2:4" ht="19.5">
      <c r="B39" s="10" t="s">
        <v>44</v>
      </c>
      <c r="C39" s="2" t="s">
        <v>45</v>
      </c>
      <c r="D39" s="17">
        <f>IF(D37="district data","",IF(D37&gt;=0,(ROUND(D37/D38,5))))</f>
      </c>
    </row>
    <row r="40" spans="2:4" ht="19.5">
      <c r="B40" s="10" t="s">
        <v>46</v>
      </c>
      <c r="C40" s="2" t="s">
        <v>47</v>
      </c>
      <c r="D40" s="6">
        <f>+D32</f>
      </c>
    </row>
    <row r="41" spans="2:4" ht="19.5">
      <c r="B41" s="10" t="s">
        <v>48</v>
      </c>
      <c r="C41" s="2" t="s">
        <v>18</v>
      </c>
      <c r="D41" s="18">
        <f>IF(D25="district data","",IF(D25&gt;=0,D25))</f>
      </c>
    </row>
    <row r="42" spans="2:4" ht="19.5">
      <c r="B42" s="10" t="s">
        <v>49</v>
      </c>
      <c r="C42" s="2" t="s">
        <v>50</v>
      </c>
      <c r="D42" s="12">
        <v>18.22</v>
      </c>
    </row>
    <row r="43" spans="2:4" ht="19.5">
      <c r="B43" s="10" t="s">
        <v>51</v>
      </c>
      <c r="C43" s="2" t="s">
        <v>52</v>
      </c>
      <c r="D43" s="11">
        <f>IF(D37="district data","",IF(D37&gt;=0,(ROUND((D39*D40*D41*D42)*1000,0))))</f>
      </c>
    </row>
    <row r="46" spans="2:4" ht="19.5">
      <c r="B46" s="1" t="s">
        <v>53</v>
      </c>
      <c r="D46" s="9" t="s">
        <v>6</v>
      </c>
    </row>
    <row r="48" spans="2:4" ht="19.5">
      <c r="B48" s="10" t="s">
        <v>54</v>
      </c>
      <c r="C48" s="2" t="s">
        <v>43</v>
      </c>
      <c r="D48" s="15">
        <f>IF(D21="district data","",IF(D21&gt;=0,D21))</f>
      </c>
    </row>
    <row r="49" spans="2:4" ht="19.5">
      <c r="B49" s="10" t="s">
        <v>55</v>
      </c>
      <c r="C49" s="2" t="s">
        <v>109</v>
      </c>
      <c r="D49" s="32" t="s">
        <v>112</v>
      </c>
    </row>
    <row r="50" spans="2:5" ht="19.5">
      <c r="B50" s="10" t="s">
        <v>56</v>
      </c>
      <c r="C50" s="2" t="s">
        <v>57</v>
      </c>
      <c r="D50" s="11">
        <f>IF(D49="district data","",IF(D49&gt;=0,(ROUND(D48*D49,5))))</f>
      </c>
      <c r="E50" s="16"/>
    </row>
    <row r="51" spans="2:4" ht="19.5">
      <c r="B51" s="10" t="s">
        <v>58</v>
      </c>
      <c r="C51" s="2" t="s">
        <v>41</v>
      </c>
      <c r="D51" s="15">
        <f>IF(D37="district data","",IF(D37&gt;=0,D37))</f>
      </c>
    </row>
    <row r="52" spans="2:4" ht="19.5">
      <c r="B52" s="10" t="s">
        <v>59</v>
      </c>
      <c r="C52" s="2" t="s">
        <v>60</v>
      </c>
      <c r="D52" s="11">
        <f>IF(D43&gt;=0,D43,IF(D43&lt;0,0))</f>
      </c>
    </row>
    <row r="53" spans="2:4" ht="19.5">
      <c r="B53" s="10" t="s">
        <v>61</v>
      </c>
      <c r="C53" s="2" t="s">
        <v>62</v>
      </c>
      <c r="D53" s="16">
        <f>IF(D49="district data","",IF(D49&gt;=0,(ROUND(((D50-D51)+D52)/D48,5))))</f>
      </c>
    </row>
    <row r="54" spans="2:4" ht="19.5">
      <c r="B54" s="10" t="s">
        <v>63</v>
      </c>
      <c r="C54" s="2" t="s">
        <v>64</v>
      </c>
      <c r="D54" s="11">
        <f>IF(D24="district data","",IF(D24&gt;=0,D24/0.75))</f>
      </c>
    </row>
    <row r="55" spans="2:4" ht="19.5">
      <c r="B55" s="10" t="s">
        <v>65</v>
      </c>
      <c r="C55" s="2" t="s">
        <v>66</v>
      </c>
      <c r="D55" s="11">
        <f>IF(D49="district data","",IF(D49&gt;=0,((((D48*D53*0.98))+D54))))</f>
      </c>
    </row>
    <row r="56" spans="2:4" ht="19.5">
      <c r="B56" s="10"/>
      <c r="D56" s="11"/>
    </row>
    <row r="57" spans="2:4" ht="19.5">
      <c r="B57" s="10" t="s">
        <v>67</v>
      </c>
      <c r="C57" s="2" t="s">
        <v>68</v>
      </c>
      <c r="D57" s="31" t="s">
        <v>112</v>
      </c>
    </row>
    <row r="58" spans="2:4" ht="19.5">
      <c r="B58" s="10" t="s">
        <v>69</v>
      </c>
      <c r="C58" s="2" t="s">
        <v>70</v>
      </c>
      <c r="D58" s="11">
        <f>+D29</f>
      </c>
    </row>
    <row r="59" spans="2:4" ht="19.5">
      <c r="B59" s="10" t="s">
        <v>71</v>
      </c>
      <c r="C59" s="2" t="s">
        <v>72</v>
      </c>
      <c r="D59" s="28" t="s">
        <v>112</v>
      </c>
    </row>
    <row r="60" spans="2:4" ht="19.5">
      <c r="B60" s="10" t="s">
        <v>73</v>
      </c>
      <c r="C60" s="2" t="s">
        <v>74</v>
      </c>
      <c r="D60" s="37">
        <f>IF(D57&lt;=D25,"",IF(D57&gt;D25,(((D57-D25)*D19))))</f>
      </c>
    </row>
    <row r="61" spans="2:4" ht="19.5">
      <c r="B61" s="10" t="s">
        <v>75</v>
      </c>
      <c r="C61" s="2" t="s">
        <v>76</v>
      </c>
      <c r="D61" s="28" t="s">
        <v>112</v>
      </c>
    </row>
    <row r="62" spans="2:4" ht="19.5">
      <c r="B62" s="10" t="s">
        <v>77</v>
      </c>
      <c r="C62" s="2" t="s">
        <v>78</v>
      </c>
      <c r="D62" s="15">
        <f>+D55</f>
      </c>
    </row>
    <row r="63" spans="2:4" ht="19.5">
      <c r="B63" s="10" t="s">
        <v>79</v>
      </c>
      <c r="C63" s="2" t="s">
        <v>80</v>
      </c>
      <c r="D63" s="12">
        <f>IF(D57="district data","",IF(D57&gt;=D25,D57,IF(D57&lt;D25,D25)))</f>
      </c>
    </row>
    <row r="64" spans="2:4" ht="19.5">
      <c r="B64" s="10" t="s">
        <v>81</v>
      </c>
      <c r="C64" s="2" t="s">
        <v>82</v>
      </c>
      <c r="D64" s="12">
        <f>IF(D63="","",IF(D63&gt;0,((D58+D59+D60+D61+D62)/D63)))</f>
      </c>
    </row>
    <row r="65" ht="19.5">
      <c r="B65" s="10"/>
    </row>
    <row r="66" spans="2:4" ht="19.5">
      <c r="B66" s="10" t="s">
        <v>83</v>
      </c>
      <c r="C66" s="2" t="s">
        <v>84</v>
      </c>
      <c r="D66" s="12">
        <v>5134.118901692467</v>
      </c>
    </row>
    <row r="67" spans="2:5" ht="19.5">
      <c r="B67" s="10" t="s">
        <v>85</v>
      </c>
      <c r="C67" s="2" t="s">
        <v>86</v>
      </c>
      <c r="D67" s="39">
        <f>(IF(D64="","",(IF(D64&gt;=0,(D66-D64),IF(D64&lt;0,"0")))))</f>
      </c>
      <c r="E67" s="19"/>
    </row>
    <row r="68" spans="2:4" ht="19.5">
      <c r="B68" s="10" t="s">
        <v>87</v>
      </c>
      <c r="C68" s="2" t="s">
        <v>88</v>
      </c>
      <c r="D68" s="34">
        <f>IF(D67="","",IF(D67&gt;0,(D67*D63),IF(D67&lt;=0,"0")))</f>
      </c>
    </row>
    <row r="69" spans="2:4" ht="19.5">
      <c r="B69" s="10"/>
      <c r="D69" s="20"/>
    </row>
    <row r="70" ht="19.5">
      <c r="B70" s="10"/>
    </row>
    <row r="71" spans="2:4" ht="19.5">
      <c r="B71" s="1" t="s">
        <v>89</v>
      </c>
      <c r="D71" s="9" t="s">
        <v>6</v>
      </c>
    </row>
    <row r="72" ht="19.5">
      <c r="B72" s="10"/>
    </row>
    <row r="73" spans="2:4" ht="19.5">
      <c r="B73" s="10" t="s">
        <v>90</v>
      </c>
      <c r="C73" s="2" t="s">
        <v>91</v>
      </c>
      <c r="D73" s="15">
        <f>+D48</f>
      </c>
    </row>
    <row r="74" spans="2:6" ht="19.5">
      <c r="B74" s="10" t="s">
        <v>92</v>
      </c>
      <c r="C74" s="2" t="s">
        <v>93</v>
      </c>
      <c r="D74" s="16">
        <f>IF(D53="","",IF(D53&gt;0,D53-0.025))</f>
      </c>
      <c r="E74" s="16">
        <f>IF(E53="","",((IF(E53&lt;0,"0")),IF(E53&gt;=0,(E53-0.025))))</f>
      </c>
      <c r="F74" s="40"/>
    </row>
    <row r="75" spans="2:4" ht="19.5">
      <c r="B75" s="10" t="s">
        <v>94</v>
      </c>
      <c r="C75" s="2" t="s">
        <v>80</v>
      </c>
      <c r="D75" s="12">
        <f>+D63</f>
      </c>
    </row>
    <row r="76" spans="2:4" ht="19.5">
      <c r="B76" s="10" t="s">
        <v>95</v>
      </c>
      <c r="C76" s="2" t="s">
        <v>96</v>
      </c>
      <c r="D76" s="12">
        <f>IF(D75="","",IF(D75&gt;=0,(((D73*0.98)*D74)/D75)))</f>
      </c>
    </row>
    <row r="77" spans="2:4" ht="19.5">
      <c r="B77" s="10" t="s">
        <v>97</v>
      </c>
      <c r="C77" s="2" t="s">
        <v>98</v>
      </c>
      <c r="D77" s="13">
        <f>IF(D54="","",IF(D54&gt;=0,(ROUND((D54*0.25)/D63,2))))</f>
      </c>
    </row>
    <row r="78" spans="2:4" ht="19.5">
      <c r="B78" s="10" t="s">
        <v>99</v>
      </c>
      <c r="C78" s="2" t="s">
        <v>100</v>
      </c>
      <c r="D78" s="12">
        <f>+D64</f>
      </c>
    </row>
    <row r="79" spans="2:4" ht="19.5">
      <c r="B79" s="10" t="s">
        <v>101</v>
      </c>
      <c r="C79" s="2" t="s">
        <v>102</v>
      </c>
      <c r="D79" s="12">
        <f>IF(D78="","",IF(D78&gt;=0,(D78-(D77+D76))))</f>
      </c>
    </row>
    <row r="80" spans="2:4" ht="19.5">
      <c r="B80" s="10" t="s">
        <v>103</v>
      </c>
      <c r="C80" s="2" t="s">
        <v>104</v>
      </c>
      <c r="D80" s="12">
        <f>IF(D79="","",IF(D79&gt;=0,D66-D79))</f>
      </c>
    </row>
    <row r="81" spans="2:4" ht="19.5">
      <c r="B81" s="10" t="s">
        <v>105</v>
      </c>
      <c r="C81" s="2" t="s">
        <v>106</v>
      </c>
      <c r="D81" s="21">
        <f>IF(D67&gt;0,+D67,IF(D67&lt;=0,"0"))</f>
      </c>
    </row>
    <row r="82" spans="2:4" ht="19.5">
      <c r="B82" s="10" t="s">
        <v>107</v>
      </c>
      <c r="C82" s="2" t="s">
        <v>108</v>
      </c>
      <c r="D82" s="37">
        <f>(IF(D74="","",IF(D74&lt;0,"0",IF(D74&gt;=0,(((D80-D81)*0.5)*D75)))))</f>
      </c>
    </row>
    <row r="83" spans="2:4" ht="19.5">
      <c r="B83" s="10"/>
      <c r="D83" s="11"/>
    </row>
    <row r="84" spans="3:4" ht="19.5">
      <c r="C84" s="2" t="s">
        <v>114</v>
      </c>
      <c r="D84" s="11">
        <f>IF(D83="","",IF(D83&gt;=0,(((D82-D83)*0.5)*D77)))</f>
      </c>
    </row>
    <row r="85" spans="3:4" ht="19.5">
      <c r="C85" s="2" t="s">
        <v>115</v>
      </c>
      <c r="D85" s="15">
        <f>(IF(D82="","",IF(D82&gt;=0,(D82+D68+D43+D29))))</f>
      </c>
    </row>
    <row r="87" spans="2:4" ht="15">
      <c r="B87" s="22"/>
      <c r="C87" s="23"/>
      <c r="D87" s="22"/>
    </row>
    <row r="88" spans="2:4" ht="15.75">
      <c r="B88" s="22"/>
      <c r="C88" s="22"/>
      <c r="D88" s="24"/>
    </row>
    <row r="89" spans="2:4" ht="15">
      <c r="B89" s="22"/>
      <c r="C89" s="22"/>
      <c r="D89" s="22"/>
    </row>
    <row r="90" spans="2:4" ht="15">
      <c r="B90" s="22"/>
      <c r="C90" s="22"/>
      <c r="D90" s="25"/>
    </row>
    <row r="91" spans="2:4" ht="15">
      <c r="B91" s="22"/>
      <c r="C91" s="22"/>
      <c r="D91" s="26"/>
    </row>
    <row r="92" spans="2:4" ht="15">
      <c r="B92" s="22"/>
      <c r="C92" s="22"/>
      <c r="D92" s="25"/>
    </row>
    <row r="93" spans="2:4" ht="15">
      <c r="B93" s="22"/>
      <c r="C93" s="22"/>
      <c r="D93" s="25"/>
    </row>
    <row r="94" spans="2:4" ht="15">
      <c r="B94" s="22"/>
      <c r="C94" s="22"/>
      <c r="D94" s="25"/>
    </row>
    <row r="95" spans="2:4" ht="15">
      <c r="B95" s="22"/>
      <c r="C95" s="22"/>
      <c r="D95" s="25"/>
    </row>
    <row r="96" spans="2:4" ht="15">
      <c r="B96" s="22"/>
      <c r="C96" s="22"/>
      <c r="D96" s="27"/>
    </row>
    <row r="97" spans="2:4" ht="15">
      <c r="B97" s="22"/>
      <c r="C97" s="22"/>
      <c r="D97" s="25"/>
    </row>
    <row r="98" spans="2:4" ht="15">
      <c r="B98" s="22"/>
      <c r="C98" s="22"/>
      <c r="D98" s="22"/>
    </row>
    <row r="99" spans="2:4" ht="15">
      <c r="B99" s="22"/>
      <c r="C99" s="22"/>
      <c r="D99" s="25"/>
    </row>
    <row r="100" spans="2:4" ht="15">
      <c r="B100" s="22"/>
      <c r="C100" s="22"/>
      <c r="D100" s="25"/>
    </row>
  </sheetData>
  <sheetProtection password="E57B" sheet="1" objects="1" scenarios="1"/>
  <printOptions horizontalCentered="1"/>
  <pageMargins left="0" right="0" top="0.5" bottom="0.5" header="0.5" footer="0.5"/>
  <pageSetup horizontalDpi="600" verticalDpi="600" orientation="portrait" scale="81" r:id="rId1"/>
  <rowBreaks count="1" manualBreakCount="1">
    <brk id="44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Martin</dc:creator>
  <cp:keywords/>
  <dc:description/>
  <cp:lastModifiedBy>ADE Employee</cp:lastModifiedBy>
  <cp:lastPrinted>2002-01-31T22:13:09Z</cp:lastPrinted>
  <dcterms:created xsi:type="dcterms:W3CDTF">2002-01-24T20:49:41Z</dcterms:created>
  <dcterms:modified xsi:type="dcterms:W3CDTF">2002-02-01T15:18:13Z</dcterms:modified>
  <cp:category/>
  <cp:version/>
  <cp:contentType/>
  <cp:contentStatus/>
</cp:coreProperties>
</file>