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3905" windowHeight="6390" activeTab="0"/>
  </bookViews>
  <sheets>
    <sheet name="State Projections" sheetId="1" r:id="rId1"/>
    <sheet name="Revenue Growth Options" sheetId="2" r:id="rId2"/>
  </sheets>
  <definedNames>
    <definedName name="_xlnm.Print_Area" localSheetId="1">'Revenue Growth Options'!$A$1:$G$89</definedName>
    <definedName name="_xlnm.Print_Area" localSheetId="0">'State Projections'!$A$1:$C$93</definedName>
  </definedNames>
  <calcPr fullCalcOnLoad="1"/>
</workbook>
</file>

<file path=xl/sharedStrings.xml><?xml version="1.0" encoding="utf-8"?>
<sst xmlns="http://schemas.openxmlformats.org/spreadsheetml/2006/main" count="282" uniqueCount="142">
  <si>
    <t>Arkansas Department of Education</t>
  </si>
  <si>
    <t>Data to be used for illustrative purposes only</t>
  </si>
  <si>
    <t>This projection is specifically limited to State Equalization Aid, Debt Service Funding,</t>
  </si>
  <si>
    <t xml:space="preserve">     Student Growth Funding, Additional Base Funding, and Incentive Funding</t>
  </si>
  <si>
    <t>State Equalization Aid Calculation</t>
  </si>
  <si>
    <t>2002-03</t>
  </si>
  <si>
    <t>Ln 1</t>
  </si>
  <si>
    <t>State Assessment</t>
  </si>
  <si>
    <t>Ln 2</t>
  </si>
  <si>
    <t>98% Collections Rate</t>
  </si>
  <si>
    <t>Ln 3</t>
  </si>
  <si>
    <t xml:space="preserve">Amendment 74 </t>
  </si>
  <si>
    <t>Ln 4</t>
  </si>
  <si>
    <t>75% Miscellaneous Funds</t>
  </si>
  <si>
    <t>Ln 5</t>
  </si>
  <si>
    <t>State Equalization Aid</t>
  </si>
  <si>
    <t>Ln 6</t>
  </si>
  <si>
    <t>Prior Year Three Quarter Average ADMs</t>
  </si>
  <si>
    <t>Ln 7</t>
  </si>
  <si>
    <t>Base Local Revenue per Student [{(ln1*ln2*ln3)+ln4+ln5}/ln6)]</t>
  </si>
  <si>
    <t>Ln 8</t>
  </si>
  <si>
    <t>School District Assessment</t>
  </si>
  <si>
    <t>district data</t>
  </si>
  <si>
    <t>Ln 9</t>
  </si>
  <si>
    <t>Ln 10</t>
  </si>
  <si>
    <t>Ln 11</t>
  </si>
  <si>
    <t>Ln 12</t>
  </si>
  <si>
    <t>Ln 13</t>
  </si>
  <si>
    <t>Local Revenue per Student [{(ln8*ln9*ln10)+ln11}/ln12)]</t>
  </si>
  <si>
    <t>Ln 14</t>
  </si>
  <si>
    <t>State Equalization Aid per Student   (ln7-ln13)</t>
  </si>
  <si>
    <t>Ln 15</t>
  </si>
  <si>
    <t>District State Equalization Aid  (ln14*ln12)</t>
  </si>
  <si>
    <t>Ln 16</t>
  </si>
  <si>
    <t>Local Revenue per Student  (ln 13)</t>
  </si>
  <si>
    <t>Ln 17</t>
  </si>
  <si>
    <t>State Equalization Aid per Student   (ln14)</t>
  </si>
  <si>
    <t>Ln 18</t>
  </si>
  <si>
    <t>State Wealth Index  [1-(ln16/ln17)]</t>
  </si>
  <si>
    <t>Debt Service Funding Supplement Calculation</t>
  </si>
  <si>
    <t>Ln 19</t>
  </si>
  <si>
    <t>Debt Payment</t>
  </si>
  <si>
    <t>Ln 20</t>
  </si>
  <si>
    <t>District Assessment</t>
  </si>
  <si>
    <t>Ln 21</t>
  </si>
  <si>
    <t>Required Debt Mills  (ln19/ln20)</t>
  </si>
  <si>
    <t>Ln 22</t>
  </si>
  <si>
    <t>State Wealth Index</t>
  </si>
  <si>
    <t>Ln 23</t>
  </si>
  <si>
    <t>Ln 24</t>
  </si>
  <si>
    <t>Funding Factor</t>
  </si>
  <si>
    <t>Ln 25</t>
  </si>
  <si>
    <t>Debt Service Funding Supplement  (ln21*ln22*ln23*ln24)</t>
  </si>
  <si>
    <t>Additional Base Funding Calculation</t>
  </si>
  <si>
    <t>ln 26</t>
  </si>
  <si>
    <t>ln 27</t>
  </si>
  <si>
    <t xml:space="preserve">Real Property Millage rate </t>
  </si>
  <si>
    <t>ln 28</t>
  </si>
  <si>
    <t>District Revenues  (ln26*ln27)</t>
  </si>
  <si>
    <t>ln 29</t>
  </si>
  <si>
    <t>ln 30</t>
  </si>
  <si>
    <t xml:space="preserve">Debt Service Funding Supplement </t>
  </si>
  <si>
    <t>ln 31</t>
  </si>
  <si>
    <t>Available M&amp;O Mills  [(ln28-ln29+ln30)/ln26]</t>
  </si>
  <si>
    <t>ln 32</t>
  </si>
  <si>
    <t>100% Miscellaneous Revenues</t>
  </si>
  <si>
    <t>ln 33</t>
  </si>
  <si>
    <t>Available M&amp;O Revenue  [{(ln26*.98)*ln31}+ln32]</t>
  </si>
  <si>
    <t>ln 34</t>
  </si>
  <si>
    <t>Current Year ADMs</t>
  </si>
  <si>
    <t>ln 35</t>
  </si>
  <si>
    <t>State Equalization Funding</t>
  </si>
  <si>
    <t>ln 36</t>
  </si>
  <si>
    <t>General Facilities Funding</t>
  </si>
  <si>
    <t>ln 37</t>
  </si>
  <si>
    <t>Student Growth Funding</t>
  </si>
  <si>
    <t>ln 38</t>
  </si>
  <si>
    <t>Revenue Loss Funding</t>
  </si>
  <si>
    <t>ln 39</t>
  </si>
  <si>
    <t>Available M&amp;O Revenue  (ln32)</t>
  </si>
  <si>
    <t>ln 40</t>
  </si>
  <si>
    <t>Greater of Prior Year or Current Year ADMs</t>
  </si>
  <si>
    <t>ln 41</t>
  </si>
  <si>
    <t>95th Percentile MS&amp;LR/ADM</t>
  </si>
  <si>
    <t>Additional Base Funding / ADM (ln40-ln39)</t>
  </si>
  <si>
    <t>ln 42</t>
  </si>
  <si>
    <t>Incentive Funding Calculation</t>
  </si>
  <si>
    <t>ln 43</t>
  </si>
  <si>
    <t>Total Assessment</t>
  </si>
  <si>
    <t>ln 44</t>
  </si>
  <si>
    <t>URT - Additional M&amp;O Mills  (ln30 - .025)</t>
  </si>
  <si>
    <t>ln 45</t>
  </si>
  <si>
    <t>ln 46</t>
  </si>
  <si>
    <t>Adnl M&amp;O Revs/ADM [{(ln43*.98)*ln44}/ln45]</t>
  </si>
  <si>
    <t>ln 47</t>
  </si>
  <si>
    <t>25% of Misc Funds / ADM  [(ln31*.25)/ln45]</t>
  </si>
  <si>
    <t>ln 48</t>
  </si>
  <si>
    <t>Total State and Local Revenue per ADM  (ln39)</t>
  </si>
  <si>
    <t>ln 49</t>
  </si>
  <si>
    <t xml:space="preserve"> ln48-(ln46+ln47)</t>
  </si>
  <si>
    <t>ln 50</t>
  </si>
  <si>
    <t xml:space="preserve"> ln40-ln49</t>
  </si>
  <si>
    <t>ln 51</t>
  </si>
  <si>
    <t>ABF / ADM  (ln41)</t>
  </si>
  <si>
    <t>ln 52</t>
  </si>
  <si>
    <t>State projections are based on a 3% revenue growth projection</t>
  </si>
  <si>
    <t>2002-04</t>
  </si>
  <si>
    <t>2002-05</t>
  </si>
  <si>
    <t>2002-06</t>
  </si>
  <si>
    <t>State Projections</t>
  </si>
  <si>
    <t>Growth</t>
  </si>
  <si>
    <t>Base Local Revenue per Student</t>
  </si>
  <si>
    <t>Local Revenue per Student</t>
  </si>
  <si>
    <t>State Equalization Aid per Student</t>
  </si>
  <si>
    <t>Incentive Funding</t>
  </si>
  <si>
    <t>Additional Base Funding</t>
  </si>
  <si>
    <t>Funding Category</t>
  </si>
  <si>
    <t>Total State and Local Revenue per ADM</t>
  </si>
  <si>
    <t>ln 53</t>
  </si>
  <si>
    <t>ln 54</t>
  </si>
  <si>
    <t>ln 55</t>
  </si>
  <si>
    <t>Additional Base Funding / ADM (ln42-ln41)</t>
  </si>
  <si>
    <t>Total ABF [(if ln43&gt;0) then ln43*ln40]</t>
  </si>
  <si>
    <t>URT - Additional M&amp;O Mills  (ln31 - .025)</t>
  </si>
  <si>
    <t>Adnl M&amp;O Revs/ADM [{(ln45*.98)*ln46}/ln47]</t>
  </si>
  <si>
    <t>25% of Misc Funds / ADM  [(ln32*.25)/ln47]</t>
  </si>
  <si>
    <t>Total State and Local Revenue per ADM  (ln41)</t>
  </si>
  <si>
    <t xml:space="preserve"> ln50-(ln49+ln48)</t>
  </si>
  <si>
    <t xml:space="preserve"> ln42-ln51</t>
  </si>
  <si>
    <t>ABF / ADM  (ln43)</t>
  </si>
  <si>
    <t>Incentive Funding [{(ln52-ln53)*.5}*ln47]</t>
  </si>
  <si>
    <t>Bonded Debt Payment</t>
  </si>
  <si>
    <t>Debt Service Funding Factor</t>
  </si>
  <si>
    <t xml:space="preserve">Local Revenue per Student </t>
  </si>
  <si>
    <t>Due to requests, this template provides a variety of Revenue Growth Options</t>
  </si>
  <si>
    <t>Debt Service Funding Supplement</t>
  </si>
  <si>
    <t>TOTAL</t>
  </si>
  <si>
    <t>Summary</t>
  </si>
  <si>
    <t>Total State and Local Revenue per ADM [(ln35+ln36+ln37+ln38+ln39)/ln40]</t>
  </si>
  <si>
    <t>Available M&amp;O Revenue  (ln33)</t>
  </si>
  <si>
    <t>Fiscal Year 2003 Funding Projections as of May 28, 2002</t>
  </si>
  <si>
    <t>May 28 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</si>
</sst>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mmmm\ d\,\ yyyy"/>
    <numFmt numFmtId="167" formatCode="0.0%"/>
    <numFmt numFmtId="168" formatCode="0.00000"/>
    <numFmt numFmtId="169" formatCode="_(* #,##0.0000_);_(* \(#,##0.0000\);_(* &quot;-&quot;??_);_(@_)"/>
    <numFmt numFmtId="170" formatCode="_(* #,##0.000_);_(* \(#,##0.000\);_(* &quot;-&quot;??_);_(@_)"/>
    <numFmt numFmtId="171" formatCode="_(* #,##0.0_);_(* \(#,##0.0\);_(* &quot;-&quot;??_);_(@_)"/>
    <numFmt numFmtId="172" formatCode="0.0"/>
  </numFmts>
  <fonts count="5">
    <font>
      <sz val="12"/>
      <name val="Tahoma"/>
      <family val="0"/>
    </font>
    <font>
      <sz val="11"/>
      <name val="Comic Sans MS"/>
      <family val="4"/>
    </font>
    <font>
      <b/>
      <sz val="11"/>
      <name val="Comic Sans MS"/>
      <family val="4"/>
    </font>
    <font>
      <sz val="10"/>
      <name val="Arial"/>
      <family val="0"/>
    </font>
    <font>
      <b/>
      <sz val="11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/>
    </xf>
    <xf numFmtId="15" fontId="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10" fontId="1" fillId="0" borderId="0" xfId="20" applyNumberFormat="1" applyFont="1" applyAlignment="1">
      <alignment/>
    </xf>
    <xf numFmtId="10" fontId="1" fillId="0" borderId="0" xfId="20" applyNumberFormat="1" applyFont="1" applyFill="1" applyAlignment="1">
      <alignment/>
    </xf>
    <xf numFmtId="164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43" fontId="1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166" fontId="2" fillId="0" borderId="0" xfId="19" applyNumberFormat="1" applyFont="1" applyAlignment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15" applyNumberFormat="1" applyFont="1" applyFill="1" applyAlignment="1" applyProtection="1">
      <alignment horizontal="center"/>
      <protection locked="0"/>
    </xf>
    <xf numFmtId="43" fontId="1" fillId="0" borderId="0" xfId="15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4" fontId="1" fillId="2" borderId="0" xfId="15" applyNumberFormat="1" applyFont="1" applyFill="1" applyAlignment="1" applyProtection="1">
      <alignment horizontal="center"/>
      <protection locked="0"/>
    </xf>
    <xf numFmtId="43" fontId="1" fillId="2" borderId="0" xfId="15" applyFont="1" applyFill="1" applyAlignment="1" applyProtection="1">
      <alignment horizontal="center"/>
      <protection locked="0"/>
    </xf>
    <xf numFmtId="43" fontId="1" fillId="0" borderId="0" xfId="15" applyFont="1" applyFill="1" applyAlignment="1" applyProtection="1">
      <alignment horizontal="center"/>
      <protection locked="0"/>
    </xf>
    <xf numFmtId="43" fontId="1" fillId="0" borderId="0" xfId="15" applyFont="1" applyAlignment="1">
      <alignment horizontal="center"/>
    </xf>
    <xf numFmtId="168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8" fontId="1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9" fontId="1" fillId="2" borderId="0" xfId="15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4" fontId="1" fillId="3" borderId="0" xfId="15" applyNumberFormat="1" applyFont="1" applyFill="1" applyAlignment="1" applyProtection="1">
      <alignment horizontal="center"/>
      <protection locked="0"/>
    </xf>
    <xf numFmtId="165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Fill="1" applyAlignment="1">
      <alignment horizontal="center"/>
    </xf>
    <xf numFmtId="167" fontId="4" fillId="0" borderId="0" xfId="20" applyNumberFormat="1" applyFont="1" applyAlignment="1">
      <alignment horizontal="center"/>
    </xf>
    <xf numFmtId="0" fontId="2" fillId="0" borderId="0" xfId="0" applyFont="1" applyAlignment="1">
      <alignment/>
    </xf>
    <xf numFmtId="165" fontId="1" fillId="3" borderId="0" xfId="15" applyNumberFormat="1" applyFont="1" applyFill="1" applyAlignment="1" applyProtection="1">
      <alignment horizontal="center"/>
      <protection locked="0"/>
    </xf>
    <xf numFmtId="167" fontId="2" fillId="0" borderId="0" xfId="20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0" fontId="1" fillId="0" borderId="0" xfId="20" applyNumberFormat="1" applyFont="1" applyFill="1" applyAlignment="1">
      <alignment horizontal="right"/>
    </xf>
    <xf numFmtId="164" fontId="4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 horizontal="center"/>
    </xf>
    <xf numFmtId="164" fontId="1" fillId="0" borderId="0" xfId="15" applyNumberFormat="1" applyFont="1" applyFill="1" applyAlignment="1" applyProtection="1">
      <alignment horizontal="center"/>
      <protection/>
    </xf>
    <xf numFmtId="164" fontId="1" fillId="0" borderId="0" xfId="15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43" fontId="1" fillId="0" borderId="0" xfId="15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3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3" fontId="1" fillId="0" borderId="0" xfId="15" applyFont="1" applyAlignment="1" applyProtection="1">
      <alignment horizontal="right"/>
      <protection/>
    </xf>
    <xf numFmtId="164" fontId="1" fillId="0" borderId="0" xfId="15" applyNumberFormat="1" applyFont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0"/>
  <sheetViews>
    <sheetView tabSelected="1" workbookViewId="0" topLeftCell="A1">
      <selection activeCell="A1" sqref="A1"/>
    </sheetView>
  </sheetViews>
  <sheetFormatPr defaultColWidth="8.88671875" defaultRowHeight="15"/>
  <cols>
    <col min="1" max="1" width="6.77734375" style="1" customWidth="1"/>
    <col min="2" max="2" width="58.77734375" style="1" customWidth="1"/>
    <col min="3" max="3" width="15.99609375" style="1" customWidth="1"/>
    <col min="4" max="4" width="9.99609375" style="1" bestFit="1" customWidth="1"/>
    <col min="5" max="16384" width="8.88671875" style="1" customWidth="1"/>
  </cols>
  <sheetData>
    <row r="1" ht="18">
      <c r="A1" s="2" t="s">
        <v>0</v>
      </c>
    </row>
    <row r="2" spans="1:3" ht="18">
      <c r="A2" s="4" t="s">
        <v>140</v>
      </c>
      <c r="B2" s="5"/>
      <c r="C2" s="39"/>
    </row>
    <row r="3" spans="1:3" ht="18">
      <c r="A3" s="8" t="s">
        <v>1</v>
      </c>
      <c r="B3" s="9"/>
      <c r="C3" s="10"/>
    </row>
    <row r="4" spans="1:3" ht="18">
      <c r="A4" s="8" t="s">
        <v>2</v>
      </c>
      <c r="B4" s="9"/>
      <c r="C4" s="13"/>
    </row>
    <row r="5" spans="1:3" ht="18">
      <c r="A5" s="8" t="s">
        <v>3</v>
      </c>
      <c r="B5" s="9"/>
      <c r="C5" s="13"/>
    </row>
    <row r="6" spans="1:3" ht="18">
      <c r="A6" s="8" t="s">
        <v>105</v>
      </c>
      <c r="B6" s="9"/>
      <c r="C6" s="13"/>
    </row>
    <row r="7" spans="1:3" ht="18">
      <c r="A7" s="8"/>
      <c r="B7" s="16"/>
      <c r="C7" s="13"/>
    </row>
    <row r="8" spans="1:3" ht="18">
      <c r="A8" s="8"/>
      <c r="B8" s="16"/>
      <c r="C8" s="13"/>
    </row>
    <row r="9" spans="1:3" ht="18">
      <c r="A9" s="8"/>
      <c r="B9" s="16"/>
      <c r="C9" s="13"/>
    </row>
    <row r="10" spans="1:3" ht="18">
      <c r="A10" s="9"/>
      <c r="B10" s="9"/>
      <c r="C10" s="18" t="s">
        <v>141</v>
      </c>
    </row>
    <row r="11" spans="1:3" ht="18">
      <c r="A11" s="2" t="s">
        <v>4</v>
      </c>
      <c r="C11" s="18" t="s">
        <v>5</v>
      </c>
    </row>
    <row r="12" ht="16.5">
      <c r="A12" s="21"/>
    </row>
    <row r="13" spans="1:3" ht="16.5">
      <c r="A13" s="21" t="s">
        <v>6</v>
      </c>
      <c r="B13" s="1" t="s">
        <v>7</v>
      </c>
      <c r="C13" s="12">
        <v>25301802839</v>
      </c>
    </row>
    <row r="14" spans="1:3" ht="16.5">
      <c r="A14" s="21" t="s">
        <v>8</v>
      </c>
      <c r="B14" s="1" t="s">
        <v>9</v>
      </c>
      <c r="C14" s="1">
        <v>0.98</v>
      </c>
    </row>
    <row r="15" spans="1:3" ht="16.5">
      <c r="A15" s="21" t="s">
        <v>10</v>
      </c>
      <c r="B15" s="1" t="s">
        <v>11</v>
      </c>
      <c r="C15" s="1">
        <v>0.025</v>
      </c>
    </row>
    <row r="16" spans="1:3" ht="16.5">
      <c r="A16" s="21" t="s">
        <v>12</v>
      </c>
      <c r="B16" s="1" t="s">
        <v>13</v>
      </c>
      <c r="C16" s="12">
        <v>5534208</v>
      </c>
    </row>
    <row r="17" spans="1:3" ht="16.5">
      <c r="A17" s="21" t="s">
        <v>14</v>
      </c>
      <c r="B17" s="1" t="s">
        <v>15</v>
      </c>
      <c r="C17" s="15">
        <v>1498489705</v>
      </c>
    </row>
    <row r="18" spans="1:3" ht="16.5">
      <c r="A18" s="21" t="s">
        <v>16</v>
      </c>
      <c r="B18" s="1" t="s">
        <v>17</v>
      </c>
      <c r="C18" s="20">
        <v>443991.05</v>
      </c>
    </row>
    <row r="19" spans="1:3" ht="16.5">
      <c r="A19" s="21" t="s">
        <v>18</v>
      </c>
      <c r="B19" s="1" t="s">
        <v>19</v>
      </c>
      <c r="C19" s="20">
        <f>+(((((C13*C14)*C15)+C16)+C17)/C18)</f>
        <v>4783.695713135434</v>
      </c>
    </row>
    <row r="20" ht="16.5">
      <c r="B20" s="23"/>
    </row>
    <row r="21" spans="1:3" ht="16.5">
      <c r="A21" s="21" t="s">
        <v>20</v>
      </c>
      <c r="B21" s="1" t="s">
        <v>21</v>
      </c>
      <c r="C21" s="24" t="s">
        <v>22</v>
      </c>
    </row>
    <row r="22" spans="1:3" ht="16.5">
      <c r="A22" s="21" t="s">
        <v>23</v>
      </c>
      <c r="B22" s="1" t="s">
        <v>9</v>
      </c>
      <c r="C22" s="1">
        <v>0.98</v>
      </c>
    </row>
    <row r="23" spans="1:3" ht="16.5">
      <c r="A23" s="21" t="s">
        <v>24</v>
      </c>
      <c r="B23" s="1" t="s">
        <v>11</v>
      </c>
      <c r="C23" s="1">
        <v>0.025</v>
      </c>
    </row>
    <row r="24" spans="1:3" ht="16.5">
      <c r="A24" s="21" t="s">
        <v>25</v>
      </c>
      <c r="B24" s="1" t="s">
        <v>13</v>
      </c>
      <c r="C24" s="24" t="s">
        <v>22</v>
      </c>
    </row>
    <row r="25" spans="1:3" ht="16.5">
      <c r="A25" s="21" t="s">
        <v>26</v>
      </c>
      <c r="B25" s="1" t="s">
        <v>17</v>
      </c>
      <c r="C25" s="25" t="s">
        <v>22</v>
      </c>
    </row>
    <row r="26" spans="1:3" ht="16.5">
      <c r="A26" s="21" t="s">
        <v>27</v>
      </c>
      <c r="B26" s="1" t="s">
        <v>28</v>
      </c>
      <c r="C26" s="20">
        <f>IF(C21="district data","",IF(C24="district data","",IF(C25="district data","",IF(C21&gt;=0,(((C21*C22)*C23)+C24)/C25))))</f>
      </c>
    </row>
    <row r="27" spans="1:3" ht="16.5">
      <c r="A27" s="21"/>
      <c r="B27" s="23"/>
      <c r="C27" s="27"/>
    </row>
    <row r="28" spans="1:3" ht="16.5">
      <c r="A28" s="21" t="s">
        <v>29</v>
      </c>
      <c r="B28" s="1" t="s">
        <v>30</v>
      </c>
      <c r="C28" s="23">
        <f>IF(C26="","",IF(C26&gt;=0,(ROUND(C19-C26,2))))</f>
      </c>
    </row>
    <row r="29" spans="1:3" ht="16.5">
      <c r="A29" s="21" t="s">
        <v>31</v>
      </c>
      <c r="B29" s="1" t="s">
        <v>32</v>
      </c>
      <c r="C29" s="22">
        <f>IF(C28="","",IF(C28&gt;=0,(C28*C25)))</f>
      </c>
    </row>
    <row r="30" spans="1:3" ht="16.5">
      <c r="A30" s="21"/>
      <c r="C30" s="28"/>
    </row>
    <row r="31" spans="1:3" ht="16.5">
      <c r="A31" s="21" t="s">
        <v>33</v>
      </c>
      <c r="B31" s="1" t="s">
        <v>34</v>
      </c>
      <c r="C31" s="23">
        <f>+C26</f>
      </c>
    </row>
    <row r="32" spans="1:3" ht="16.5">
      <c r="A32" s="21" t="s">
        <v>35</v>
      </c>
      <c r="B32" s="1" t="s">
        <v>36</v>
      </c>
      <c r="C32" s="23">
        <f>+C28</f>
      </c>
    </row>
    <row r="33" spans="1:3" ht="16.5">
      <c r="A33" s="21" t="s">
        <v>37</v>
      </c>
      <c r="B33" s="1" t="s">
        <v>38</v>
      </c>
      <c r="C33" s="28">
        <f>IF(C32="","",IF(C32&gt;=0,(1-(C31/C32))))</f>
      </c>
    </row>
    <row r="36" spans="1:3" ht="18">
      <c r="A36" s="2" t="s">
        <v>39</v>
      </c>
      <c r="C36" s="18" t="s">
        <v>5</v>
      </c>
    </row>
    <row r="37" ht="16.5">
      <c r="A37" s="21"/>
    </row>
    <row r="38" spans="1:3" ht="16.5">
      <c r="A38" s="21" t="s">
        <v>40</v>
      </c>
      <c r="B38" s="1" t="s">
        <v>131</v>
      </c>
      <c r="C38" s="24" t="s">
        <v>22</v>
      </c>
    </row>
    <row r="39" spans="1:3" ht="16.5">
      <c r="A39" s="21" t="s">
        <v>42</v>
      </c>
      <c r="B39" s="1" t="s">
        <v>43</v>
      </c>
      <c r="C39" s="22">
        <f>IF(C21="district data","",IF(C21&gt;=0,C21))</f>
      </c>
    </row>
    <row r="40" spans="1:3" ht="16.5">
      <c r="A40" s="21" t="s">
        <v>44</v>
      </c>
      <c r="B40" s="1" t="s">
        <v>45</v>
      </c>
      <c r="C40" s="29">
        <f>IF(C38="district data","",IF(C38&gt;=0,(ROUND(C38/C39,5))))</f>
      </c>
    </row>
    <row r="41" spans="1:3" ht="16.5">
      <c r="A41" s="21" t="s">
        <v>46</v>
      </c>
      <c r="B41" s="1" t="s">
        <v>47</v>
      </c>
      <c r="C41" s="30">
        <f>IF(C33="","",IF(C33&gt;=0,(ROUND(C33/1,5))))</f>
      </c>
    </row>
    <row r="42" spans="1:3" ht="16.5">
      <c r="A42" s="21" t="s">
        <v>48</v>
      </c>
      <c r="B42" s="1" t="s">
        <v>17</v>
      </c>
      <c r="C42" s="31">
        <f>IF(C25="district data","",IF(C25&gt;=0,C25))</f>
      </c>
    </row>
    <row r="43" spans="1:3" ht="16.5">
      <c r="A43" s="21" t="s">
        <v>49</v>
      </c>
      <c r="B43" s="1" t="s">
        <v>50</v>
      </c>
      <c r="C43" s="20">
        <v>18.22</v>
      </c>
    </row>
    <row r="44" spans="1:3" ht="16.5">
      <c r="A44" s="21" t="s">
        <v>51</v>
      </c>
      <c r="B44" s="1" t="s">
        <v>52</v>
      </c>
      <c r="C44" s="12">
        <f>IF(C38="district data","",IF(C38&gt;=0,(ROUND((C40*C41*C42*C43)*1000,0))))</f>
      </c>
    </row>
    <row r="47" spans="1:3" ht="18">
      <c r="A47" s="2" t="s">
        <v>53</v>
      </c>
      <c r="C47" s="18" t="s">
        <v>5</v>
      </c>
    </row>
    <row r="49" spans="1:3" ht="16.5">
      <c r="A49" s="21" t="s">
        <v>54</v>
      </c>
      <c r="B49" s="1" t="s">
        <v>43</v>
      </c>
      <c r="C49" s="32">
        <f>+C39</f>
      </c>
    </row>
    <row r="50" spans="1:3" ht="16.5">
      <c r="A50" s="21" t="s">
        <v>55</v>
      </c>
      <c r="B50" s="1" t="s">
        <v>56</v>
      </c>
      <c r="C50" s="33" t="s">
        <v>22</v>
      </c>
    </row>
    <row r="51" spans="1:3" ht="16.5">
      <c r="A51" s="21" t="s">
        <v>57</v>
      </c>
      <c r="B51" s="1" t="s">
        <v>58</v>
      </c>
      <c r="C51" s="57">
        <f>IF(C49="","",IF(C49&gt;0,(C50*C49)))</f>
      </c>
    </row>
    <row r="52" spans="1:3" ht="16.5">
      <c r="A52" s="21" t="s">
        <v>59</v>
      </c>
      <c r="B52" s="1" t="s">
        <v>131</v>
      </c>
      <c r="C52" s="57">
        <f>IF(C38="District Data","",IF(C38&gt;0,C38))</f>
      </c>
    </row>
    <row r="53" spans="1:3" ht="16.5">
      <c r="A53" s="21" t="s">
        <v>60</v>
      </c>
      <c r="B53" s="1" t="s">
        <v>61</v>
      </c>
      <c r="C53" s="58">
        <f>IF(C44&gt;=0,C44,IF(C44&lt;0,0))</f>
      </c>
    </row>
    <row r="54" spans="1:3" ht="16.5">
      <c r="A54" s="21" t="s">
        <v>62</v>
      </c>
      <c r="B54" s="1" t="s">
        <v>63</v>
      </c>
      <c r="C54" s="59">
        <f>IF(C52="","",IF(C52&gt;=0,(ROUNDDOWN(((C51-C52)+C53)/C49,5))))</f>
      </c>
    </row>
    <row r="55" spans="1:3" ht="16.5">
      <c r="A55" s="21" t="s">
        <v>64</v>
      </c>
      <c r="B55" s="1" t="s">
        <v>65</v>
      </c>
      <c r="C55" s="58">
        <f>IF(C24="district data","",IF(C24&gt;=0,C24/0.75))</f>
      </c>
    </row>
    <row r="56" spans="1:3" ht="16.5">
      <c r="A56" s="21" t="s">
        <v>66</v>
      </c>
      <c r="B56" s="1" t="s">
        <v>67</v>
      </c>
      <c r="C56" s="58">
        <f>IF(C55="","",IF(C55&gt;=0,((((C49*C54*0.98))+C55))))</f>
      </c>
    </row>
    <row r="57" spans="1:3" ht="16.5">
      <c r="A57" s="21"/>
      <c r="C57" s="58"/>
    </row>
    <row r="58" spans="1:3" ht="16.5">
      <c r="A58" s="21" t="s">
        <v>68</v>
      </c>
      <c r="B58" s="1" t="s">
        <v>69</v>
      </c>
      <c r="C58" s="25" t="s">
        <v>22</v>
      </c>
    </row>
    <row r="59" spans="1:3" ht="16.5">
      <c r="A59" s="21" t="s">
        <v>70</v>
      </c>
      <c r="B59" s="1" t="s">
        <v>71</v>
      </c>
      <c r="C59" s="58">
        <f>+C29</f>
      </c>
    </row>
    <row r="60" spans="1:3" ht="16.5">
      <c r="A60" s="21" t="s">
        <v>72</v>
      </c>
      <c r="B60" s="1" t="s">
        <v>73</v>
      </c>
      <c r="C60" s="24" t="s">
        <v>22</v>
      </c>
    </row>
    <row r="61" spans="1:3" ht="16.5">
      <c r="A61" s="21" t="s">
        <v>74</v>
      </c>
      <c r="B61" s="1" t="s">
        <v>75</v>
      </c>
      <c r="C61" s="58">
        <f>IF(C58&lt;=C25,0,IF(C58&gt;C25,(((C58-C25)*C19))))</f>
        <v>0</v>
      </c>
    </row>
    <row r="62" spans="1:3" ht="16.5">
      <c r="A62" s="21" t="s">
        <v>76</v>
      </c>
      <c r="B62" s="1" t="s">
        <v>77</v>
      </c>
      <c r="C62" s="24" t="s">
        <v>22</v>
      </c>
    </row>
    <row r="63" spans="1:3" ht="16.5">
      <c r="A63" s="21" t="s">
        <v>78</v>
      </c>
      <c r="B63" s="1" t="s">
        <v>139</v>
      </c>
      <c r="C63" s="60">
        <f>+C56</f>
      </c>
    </row>
    <row r="64" spans="1:3" ht="16.5">
      <c r="A64" s="21" t="s">
        <v>80</v>
      </c>
      <c r="B64" s="1" t="s">
        <v>81</v>
      </c>
      <c r="C64" s="61">
        <f>IF(C58="district data","",IF(C58&gt;=C25,C58,IF(C58&lt;C25,C25)))</f>
      </c>
    </row>
    <row r="65" spans="1:3" ht="16.5">
      <c r="A65" s="21" t="s">
        <v>82</v>
      </c>
      <c r="B65" s="1" t="s">
        <v>138</v>
      </c>
      <c r="C65" s="61">
        <f>IF(C49="","",IF(C49&gt;0,((C59+C60+C61+C62+C63)/C64)))</f>
      </c>
    </row>
    <row r="66" spans="1:3" ht="16.5">
      <c r="A66" s="21"/>
      <c r="C66" s="62"/>
    </row>
    <row r="67" spans="1:3" ht="16.5">
      <c r="A67" s="21" t="s">
        <v>85</v>
      </c>
      <c r="B67" s="1" t="s">
        <v>83</v>
      </c>
      <c r="C67" s="61">
        <v>5061.43</v>
      </c>
    </row>
    <row r="68" spans="1:3" ht="16.5">
      <c r="A68" s="21" t="s">
        <v>87</v>
      </c>
      <c r="B68" s="1" t="s">
        <v>121</v>
      </c>
      <c r="C68" s="63">
        <f>IF(C65="","",IF(C65&gt;=0,(ROUND(C67-C65,2))))</f>
      </c>
    </row>
    <row r="69" spans="1:3" ht="16.5">
      <c r="A69" s="21" t="s">
        <v>89</v>
      </c>
      <c r="B69" s="1" t="s">
        <v>122</v>
      </c>
      <c r="C69" s="64">
        <f>IF(C68="","",IF(C68&gt;0,(C68*C64),IF(C68&lt;=0,"0")))</f>
      </c>
    </row>
    <row r="70" spans="1:3" ht="16.5">
      <c r="A70" s="21"/>
      <c r="C70" s="65"/>
    </row>
    <row r="71" spans="1:3" ht="16.5">
      <c r="A71" s="21"/>
      <c r="C71" s="62"/>
    </row>
    <row r="72" spans="1:3" ht="18">
      <c r="A72" s="2" t="s">
        <v>86</v>
      </c>
      <c r="C72" s="66" t="s">
        <v>5</v>
      </c>
    </row>
    <row r="73" spans="1:3" ht="16.5">
      <c r="A73" s="21"/>
      <c r="C73" s="62"/>
    </row>
    <row r="74" spans="1:3" ht="16.5">
      <c r="A74" s="21" t="s">
        <v>91</v>
      </c>
      <c r="B74" s="1" t="s">
        <v>88</v>
      </c>
      <c r="C74" s="60">
        <f>+C49</f>
      </c>
    </row>
    <row r="75" spans="1:3" ht="16.5">
      <c r="A75" s="21" t="s">
        <v>92</v>
      </c>
      <c r="B75" s="1" t="s">
        <v>123</v>
      </c>
      <c r="C75" s="59">
        <f>IF(C54="","",IF(C54&gt;0,C54-0.025))</f>
      </c>
    </row>
    <row r="76" spans="1:3" ht="16.5">
      <c r="A76" s="21" t="s">
        <v>94</v>
      </c>
      <c r="B76" s="1" t="s">
        <v>81</v>
      </c>
      <c r="C76" s="61">
        <f>+C64</f>
      </c>
    </row>
    <row r="77" spans="1:3" ht="16.5">
      <c r="A77" s="21" t="s">
        <v>96</v>
      </c>
      <c r="B77" s="1" t="s">
        <v>124</v>
      </c>
      <c r="C77" s="61">
        <f>IF(C74="","",IF(C74&gt;=0,(((C74*0.98)*C75)/C76)))</f>
      </c>
    </row>
    <row r="78" spans="1:3" ht="16.5">
      <c r="A78" s="21" t="s">
        <v>98</v>
      </c>
      <c r="B78" s="1" t="s">
        <v>125</v>
      </c>
      <c r="C78" s="63">
        <f>IF(C55="","",IF(C55&gt;=0,(ROUND((C55*0.25)/C64,2))))</f>
      </c>
    </row>
    <row r="79" spans="1:3" ht="16.5">
      <c r="A79" s="21" t="s">
        <v>100</v>
      </c>
      <c r="B79" s="1" t="s">
        <v>126</v>
      </c>
      <c r="C79" s="61">
        <f>+C65</f>
      </c>
    </row>
    <row r="80" spans="1:3" ht="16.5">
      <c r="A80" s="21" t="s">
        <v>102</v>
      </c>
      <c r="B80" s="1" t="s">
        <v>127</v>
      </c>
      <c r="C80" s="61">
        <f>IF(C79="","",IF(C79&gt;=0,(C79-(C78+C77))))</f>
      </c>
    </row>
    <row r="81" spans="1:3" ht="16.5">
      <c r="A81" s="21" t="s">
        <v>104</v>
      </c>
      <c r="B81" s="1" t="s">
        <v>128</v>
      </c>
      <c r="C81" s="61">
        <f>IF(C80="","",IF(C80&gt;=0,C67-C80))</f>
      </c>
    </row>
    <row r="82" spans="1:3" ht="16.5">
      <c r="A82" s="21" t="s">
        <v>118</v>
      </c>
      <c r="B82" s="1" t="s">
        <v>129</v>
      </c>
      <c r="C82" s="67">
        <f>IF(C68&gt;0,+C68,IF(C68&lt;=0,"0"))</f>
      </c>
    </row>
    <row r="83" spans="1:3" ht="16.5">
      <c r="A83" s="21" t="s">
        <v>119</v>
      </c>
      <c r="B83" s="1" t="s">
        <v>130</v>
      </c>
      <c r="C83" s="68">
        <f>IF(C82="","",IF(C82&lt;="0",(((C81-C82)*0.5)*C76),IF(C82&gt;C81,"0")))</f>
      </c>
    </row>
    <row r="84" spans="1:3" ht="16.5">
      <c r="A84" s="21"/>
      <c r="C84" s="62"/>
    </row>
    <row r="85" spans="1:3" ht="16.5">
      <c r="A85" s="21" t="s">
        <v>120</v>
      </c>
      <c r="B85" s="1" t="s">
        <v>137</v>
      </c>
      <c r="C85" s="67"/>
    </row>
    <row r="86" spans="2:4" ht="16.5">
      <c r="B86" s="1" t="s">
        <v>71</v>
      </c>
      <c r="C86" s="64">
        <f>IF(C29="","",IF(C29&gt;=0,C29))</f>
      </c>
      <c r="D86" s="22"/>
    </row>
    <row r="87" spans="2:4" ht="16.5">
      <c r="B87" s="1" t="s">
        <v>73</v>
      </c>
      <c r="C87" s="64">
        <f>IF(C60="district data","",IF(C60&gt;=0,C60))</f>
      </c>
      <c r="D87" s="22"/>
    </row>
    <row r="88" spans="2:4" ht="16.5">
      <c r="B88" s="1" t="s">
        <v>135</v>
      </c>
      <c r="C88" s="64">
        <f>IF(C44="","",IF(C44&gt;=0,C44))</f>
      </c>
      <c r="D88" s="22"/>
    </row>
    <row r="89" spans="2:4" ht="16.5">
      <c r="B89" s="1" t="s">
        <v>77</v>
      </c>
      <c r="C89" s="64">
        <f>IF(C62="district data","",IF(C62&gt;=0,C62))</f>
      </c>
      <c r="D89" s="22"/>
    </row>
    <row r="90" spans="2:4" ht="16.5">
      <c r="B90" s="1" t="s">
        <v>75</v>
      </c>
      <c r="C90" s="64">
        <f>IF(C61=0,0,IF(C61&gt;=0,C61))</f>
        <v>0</v>
      </c>
      <c r="D90" s="22"/>
    </row>
    <row r="91" spans="2:4" ht="16.5">
      <c r="B91" s="1" t="s">
        <v>115</v>
      </c>
      <c r="C91" s="64">
        <f>IF(C69="","",IF(C69&gt;=0,C69))</f>
      </c>
      <c r="D91" s="22"/>
    </row>
    <row r="92" spans="2:4" ht="16.5">
      <c r="B92" s="1" t="s">
        <v>114</v>
      </c>
      <c r="C92" s="64">
        <f>IF(C83="","",IF(C83&gt;=0,C83))</f>
      </c>
      <c r="D92" s="22"/>
    </row>
    <row r="93" spans="2:4" ht="16.5">
      <c r="B93" s="1" t="s">
        <v>136</v>
      </c>
      <c r="C93" s="64">
        <f>IF(C86="","",IF(C86&gt;=0,(C86+C87+C88+C89+C90+C91+C92)))</f>
      </c>
      <c r="D93" s="22"/>
    </row>
    <row r="94" ht="16.5">
      <c r="C94" s="58"/>
    </row>
    <row r="95" ht="16.5">
      <c r="C95" s="58"/>
    </row>
    <row r="96" ht="16.5">
      <c r="C96" s="62"/>
    </row>
    <row r="97" ht="16.5">
      <c r="C97" s="62"/>
    </row>
    <row r="98" ht="16.5">
      <c r="C98" s="62"/>
    </row>
    <row r="99" ht="16.5">
      <c r="C99" s="62"/>
    </row>
    <row r="100" ht="16.5">
      <c r="C100" s="62"/>
    </row>
    <row r="101" ht="16.5">
      <c r="C101" s="62"/>
    </row>
    <row r="102" ht="16.5">
      <c r="C102" s="62"/>
    </row>
    <row r="103" ht="16.5">
      <c r="C103" s="62"/>
    </row>
    <row r="104" ht="16.5">
      <c r="C104" s="62"/>
    </row>
    <row r="105" ht="16.5">
      <c r="C105" s="62"/>
    </row>
    <row r="106" ht="16.5">
      <c r="C106" s="62"/>
    </row>
    <row r="107" ht="16.5">
      <c r="C107" s="62"/>
    </row>
    <row r="108" ht="16.5">
      <c r="C108" s="62"/>
    </row>
    <row r="109" ht="16.5">
      <c r="C109" s="62"/>
    </row>
    <row r="110" ht="16.5">
      <c r="C110" s="62"/>
    </row>
    <row r="111" ht="16.5">
      <c r="C111" s="62"/>
    </row>
    <row r="112" ht="16.5">
      <c r="C112" s="62"/>
    </row>
    <row r="113" ht="16.5">
      <c r="C113" s="62"/>
    </row>
    <row r="114" ht="16.5">
      <c r="C114" s="62"/>
    </row>
    <row r="115" ht="16.5">
      <c r="C115" s="62"/>
    </row>
    <row r="116" ht="16.5">
      <c r="C116" s="62"/>
    </row>
    <row r="117" ht="16.5">
      <c r="C117" s="62"/>
    </row>
    <row r="118" ht="16.5">
      <c r="C118" s="62"/>
    </row>
    <row r="119" ht="16.5">
      <c r="C119" s="62"/>
    </row>
    <row r="120" ht="16.5">
      <c r="C120" s="62"/>
    </row>
    <row r="121" ht="16.5">
      <c r="C121" s="62"/>
    </row>
    <row r="122" ht="16.5">
      <c r="C122" s="62"/>
    </row>
    <row r="123" ht="16.5">
      <c r="C123" s="62"/>
    </row>
    <row r="124" ht="16.5">
      <c r="C124" s="62"/>
    </row>
    <row r="125" ht="16.5">
      <c r="C125" s="62"/>
    </row>
    <row r="126" ht="16.5">
      <c r="C126" s="62"/>
    </row>
    <row r="127" ht="16.5">
      <c r="C127" s="62"/>
    </row>
    <row r="128" ht="16.5">
      <c r="C128" s="62"/>
    </row>
    <row r="129" ht="16.5">
      <c r="C129" s="62"/>
    </row>
    <row r="130" ht="16.5">
      <c r="C130" s="62"/>
    </row>
    <row r="131" ht="16.5">
      <c r="C131" s="62"/>
    </row>
    <row r="132" ht="16.5">
      <c r="C132" s="62"/>
    </row>
    <row r="133" ht="16.5">
      <c r="C133" s="62"/>
    </row>
    <row r="134" ht="16.5">
      <c r="C134" s="62"/>
    </row>
    <row r="135" ht="16.5">
      <c r="C135" s="62"/>
    </row>
    <row r="136" ht="16.5">
      <c r="C136" s="62"/>
    </row>
    <row r="137" ht="16.5">
      <c r="C137" s="62"/>
    </row>
    <row r="138" ht="16.5">
      <c r="C138" s="62"/>
    </row>
    <row r="139" ht="16.5">
      <c r="C139" s="62"/>
    </row>
    <row r="140" ht="16.5">
      <c r="C140" s="62"/>
    </row>
    <row r="141" ht="16.5">
      <c r="C141" s="62"/>
    </row>
    <row r="142" ht="16.5">
      <c r="C142" s="62"/>
    </row>
    <row r="143" ht="16.5">
      <c r="C143" s="62"/>
    </row>
    <row r="144" ht="16.5">
      <c r="C144" s="62"/>
    </row>
    <row r="145" ht="16.5">
      <c r="C145" s="62"/>
    </row>
    <row r="146" ht="16.5">
      <c r="C146" s="62"/>
    </row>
    <row r="147" ht="16.5">
      <c r="C147" s="62"/>
    </row>
    <row r="148" ht="16.5">
      <c r="C148" s="62"/>
    </row>
    <row r="149" ht="16.5">
      <c r="C149" s="62"/>
    </row>
    <row r="150" ht="16.5">
      <c r="C150" s="62"/>
    </row>
    <row r="151" ht="16.5">
      <c r="C151" s="62"/>
    </row>
    <row r="152" ht="16.5">
      <c r="C152" s="62"/>
    </row>
    <row r="153" ht="16.5">
      <c r="C153" s="62"/>
    </row>
    <row r="154" ht="16.5">
      <c r="C154" s="62"/>
    </row>
    <row r="155" ht="16.5">
      <c r="C155" s="62"/>
    </row>
    <row r="156" ht="16.5">
      <c r="C156" s="62"/>
    </row>
    <row r="157" ht="16.5">
      <c r="C157" s="62"/>
    </row>
    <row r="158" ht="16.5">
      <c r="C158" s="62"/>
    </row>
    <row r="159" ht="16.5">
      <c r="C159" s="62"/>
    </row>
    <row r="160" ht="16.5">
      <c r="C160" s="62"/>
    </row>
    <row r="161" ht="16.5">
      <c r="C161" s="62"/>
    </row>
    <row r="162" ht="16.5">
      <c r="C162" s="62"/>
    </row>
    <row r="163" ht="16.5">
      <c r="C163" s="62"/>
    </row>
    <row r="164" ht="16.5">
      <c r="C164" s="62"/>
    </row>
    <row r="165" ht="16.5">
      <c r="C165" s="62"/>
    </row>
    <row r="166" ht="16.5">
      <c r="C166" s="62"/>
    </row>
    <row r="167" ht="16.5">
      <c r="C167" s="62"/>
    </row>
    <row r="168" ht="16.5">
      <c r="C168" s="62"/>
    </row>
    <row r="169" ht="16.5">
      <c r="C169" s="62"/>
    </row>
    <row r="170" ht="16.5">
      <c r="C170" s="62"/>
    </row>
    <row r="171" ht="16.5">
      <c r="C171" s="62"/>
    </row>
    <row r="172" ht="16.5">
      <c r="C172" s="62"/>
    </row>
    <row r="173" ht="16.5">
      <c r="C173" s="62"/>
    </row>
    <row r="174" ht="16.5">
      <c r="C174" s="62"/>
    </row>
    <row r="175" ht="16.5">
      <c r="C175" s="62"/>
    </row>
    <row r="176" ht="16.5">
      <c r="C176" s="62"/>
    </row>
    <row r="177" ht="16.5">
      <c r="C177" s="62"/>
    </row>
    <row r="178" ht="16.5">
      <c r="C178" s="62"/>
    </row>
    <row r="179" ht="16.5">
      <c r="C179" s="62"/>
    </row>
    <row r="180" ht="16.5">
      <c r="C180" s="62"/>
    </row>
    <row r="181" ht="16.5">
      <c r="C181" s="62"/>
    </row>
    <row r="182" ht="16.5">
      <c r="C182" s="62"/>
    </row>
    <row r="183" ht="16.5">
      <c r="C183" s="62"/>
    </row>
    <row r="184" ht="16.5">
      <c r="C184" s="62"/>
    </row>
    <row r="185" ht="16.5">
      <c r="C185" s="62"/>
    </row>
    <row r="186" ht="16.5">
      <c r="C186" s="62"/>
    </row>
    <row r="187" ht="16.5">
      <c r="C187" s="62"/>
    </row>
    <row r="188" ht="16.5">
      <c r="C188" s="62"/>
    </row>
    <row r="189" ht="16.5">
      <c r="C189" s="62"/>
    </row>
    <row r="190" ht="16.5">
      <c r="C190" s="62"/>
    </row>
    <row r="191" ht="16.5">
      <c r="C191" s="62"/>
    </row>
    <row r="192" ht="16.5">
      <c r="C192" s="62"/>
    </row>
    <row r="193" ht="16.5">
      <c r="C193" s="62"/>
    </row>
    <row r="194" ht="16.5">
      <c r="C194" s="62"/>
    </row>
    <row r="195" ht="16.5">
      <c r="C195" s="62"/>
    </row>
    <row r="196" ht="16.5">
      <c r="C196" s="62"/>
    </row>
    <row r="197" ht="16.5">
      <c r="C197" s="62"/>
    </row>
    <row r="198" ht="16.5">
      <c r="C198" s="62"/>
    </row>
    <row r="199" ht="16.5">
      <c r="C199" s="62"/>
    </row>
    <row r="200" ht="16.5">
      <c r="C200" s="62"/>
    </row>
    <row r="201" ht="16.5">
      <c r="C201" s="62"/>
    </row>
    <row r="202" ht="16.5">
      <c r="C202" s="62"/>
    </row>
    <row r="203" ht="16.5">
      <c r="C203" s="62"/>
    </row>
    <row r="204" ht="16.5">
      <c r="C204" s="62"/>
    </row>
    <row r="205" ht="16.5">
      <c r="C205" s="62"/>
    </row>
    <row r="206" ht="16.5">
      <c r="C206" s="62"/>
    </row>
    <row r="207" ht="16.5">
      <c r="C207" s="62"/>
    </row>
    <row r="208" ht="16.5">
      <c r="C208" s="62"/>
    </row>
    <row r="209" ht="16.5">
      <c r="C209" s="62"/>
    </row>
    <row r="210" ht="16.5">
      <c r="C210" s="62"/>
    </row>
    <row r="211" ht="16.5">
      <c r="C211" s="62"/>
    </row>
    <row r="212" ht="16.5">
      <c r="C212" s="62"/>
    </row>
    <row r="213" ht="16.5">
      <c r="C213" s="62"/>
    </row>
    <row r="214" ht="16.5">
      <c r="C214" s="62"/>
    </row>
    <row r="215" ht="16.5">
      <c r="C215" s="62"/>
    </row>
    <row r="216" ht="16.5">
      <c r="C216" s="62"/>
    </row>
    <row r="217" ht="16.5">
      <c r="C217" s="62"/>
    </row>
    <row r="218" ht="16.5">
      <c r="C218" s="62"/>
    </row>
    <row r="219" ht="16.5">
      <c r="C219" s="62"/>
    </row>
    <row r="220" ht="16.5">
      <c r="C220" s="62"/>
    </row>
    <row r="221" ht="16.5">
      <c r="C221" s="62"/>
    </row>
    <row r="222" ht="16.5">
      <c r="C222" s="62"/>
    </row>
    <row r="223" ht="16.5">
      <c r="C223" s="62"/>
    </row>
    <row r="224" ht="16.5">
      <c r="C224" s="62"/>
    </row>
    <row r="225" ht="16.5">
      <c r="C225" s="62"/>
    </row>
    <row r="226" ht="16.5">
      <c r="C226" s="62"/>
    </row>
    <row r="227" ht="16.5">
      <c r="C227" s="62"/>
    </row>
    <row r="228" ht="16.5">
      <c r="C228" s="62"/>
    </row>
    <row r="229" ht="16.5">
      <c r="C229" s="62"/>
    </row>
    <row r="230" ht="16.5">
      <c r="C230" s="62"/>
    </row>
    <row r="231" ht="16.5">
      <c r="C231" s="62"/>
    </row>
    <row r="232" ht="16.5">
      <c r="C232" s="62"/>
    </row>
    <row r="233" ht="16.5">
      <c r="C233" s="62"/>
    </row>
    <row r="234" ht="16.5">
      <c r="C234" s="62"/>
    </row>
    <row r="235" ht="16.5">
      <c r="C235" s="62"/>
    </row>
    <row r="236" ht="16.5">
      <c r="C236" s="62"/>
    </row>
    <row r="237" ht="16.5">
      <c r="C237" s="62"/>
    </row>
    <row r="238" ht="16.5">
      <c r="C238" s="62"/>
    </row>
    <row r="239" ht="16.5">
      <c r="C239" s="62"/>
    </row>
    <row r="240" ht="16.5">
      <c r="C240" s="62"/>
    </row>
    <row r="241" ht="16.5">
      <c r="C241" s="62"/>
    </row>
    <row r="242" ht="16.5">
      <c r="C242" s="62"/>
    </row>
    <row r="243" ht="16.5">
      <c r="C243" s="62"/>
    </row>
    <row r="244" ht="16.5">
      <c r="C244" s="62"/>
    </row>
    <row r="245" ht="16.5">
      <c r="C245" s="62"/>
    </row>
    <row r="246" ht="16.5">
      <c r="C246" s="62"/>
    </row>
    <row r="247" ht="16.5">
      <c r="C247" s="62"/>
    </row>
    <row r="248" ht="16.5">
      <c r="C248" s="62"/>
    </row>
    <row r="249" ht="16.5">
      <c r="C249" s="62"/>
    </row>
    <row r="250" ht="16.5">
      <c r="C250" s="62"/>
    </row>
    <row r="251" ht="16.5">
      <c r="C251" s="62"/>
    </row>
    <row r="252" ht="16.5">
      <c r="C252" s="62"/>
    </row>
    <row r="253" ht="16.5">
      <c r="C253" s="62"/>
    </row>
    <row r="254" ht="16.5">
      <c r="C254" s="62"/>
    </row>
    <row r="255" ht="16.5">
      <c r="C255" s="62"/>
    </row>
    <row r="256" ht="16.5">
      <c r="C256" s="62"/>
    </row>
    <row r="257" ht="16.5">
      <c r="C257" s="62"/>
    </row>
    <row r="258" ht="16.5">
      <c r="C258" s="62"/>
    </row>
    <row r="259" ht="16.5">
      <c r="C259" s="62"/>
    </row>
    <row r="260" ht="16.5">
      <c r="C260" s="62"/>
    </row>
  </sheetData>
  <sheetProtection password="CABF" sheet="1" objects="1" scenarios="1"/>
  <printOptions horizontalCentered="1"/>
  <pageMargins left="0" right="0" top="0.25" bottom="0.25" header="0.5" footer="0.5"/>
  <pageSetup horizontalDpi="600" verticalDpi="600" orientation="portrait" scale="91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workbookViewId="0" topLeftCell="A1">
      <selection activeCell="A1" sqref="A1:IV16384"/>
    </sheetView>
  </sheetViews>
  <sheetFormatPr defaultColWidth="8.88671875" defaultRowHeight="15"/>
  <cols>
    <col min="1" max="1" width="6.77734375" style="1" customWidth="1"/>
    <col min="2" max="2" width="34.88671875" style="1" customWidth="1"/>
    <col min="3" max="3" width="11.77734375" style="1" bestFit="1" customWidth="1"/>
    <col min="4" max="4" width="11.77734375" style="3" bestFit="1" customWidth="1"/>
    <col min="5" max="5" width="15.77734375" style="3" bestFit="1" customWidth="1"/>
    <col min="6" max="7" width="11.77734375" style="3" bestFit="1" customWidth="1"/>
    <col min="8" max="16384" width="8.88671875" style="1" customWidth="1"/>
  </cols>
  <sheetData>
    <row r="1" spans="1:5" ht="18">
      <c r="A1" s="2" t="s">
        <v>0</v>
      </c>
      <c r="E1" s="11"/>
    </row>
    <row r="2" spans="1:7" ht="18">
      <c r="A2" s="4" t="s">
        <v>140</v>
      </c>
      <c r="B2" s="5"/>
      <c r="C2" s="6"/>
      <c r="D2" s="7"/>
      <c r="E2" s="54"/>
      <c r="F2" s="7"/>
      <c r="G2" s="7"/>
    </row>
    <row r="3" spans="1:7" ht="18">
      <c r="A3" s="8" t="s">
        <v>1</v>
      </c>
      <c r="B3" s="9"/>
      <c r="C3" s="10"/>
      <c r="D3" s="11"/>
      <c r="E3" s="11"/>
      <c r="F3" s="11"/>
      <c r="G3" s="11"/>
    </row>
    <row r="4" spans="1:3" ht="18">
      <c r="A4" s="8" t="s">
        <v>2</v>
      </c>
      <c r="B4" s="9"/>
      <c r="C4" s="13"/>
    </row>
    <row r="5" spans="1:7" ht="18">
      <c r="A5" s="8" t="s">
        <v>3</v>
      </c>
      <c r="B5" s="9"/>
      <c r="C5" s="13"/>
      <c r="D5" s="14"/>
      <c r="E5" s="14"/>
      <c r="F5" s="14"/>
      <c r="G5" s="14"/>
    </row>
    <row r="6" spans="1:7" ht="18">
      <c r="A6" s="8" t="s">
        <v>105</v>
      </c>
      <c r="B6" s="9"/>
      <c r="C6" s="13"/>
      <c r="D6" s="14"/>
      <c r="E6" s="14"/>
      <c r="F6" s="14"/>
      <c r="G6" s="14"/>
    </row>
    <row r="7" spans="1:3" ht="18">
      <c r="A7" s="8" t="s">
        <v>134</v>
      </c>
      <c r="B7" s="9"/>
      <c r="C7" s="12"/>
    </row>
    <row r="8" spans="1:3" ht="18">
      <c r="A8" s="8"/>
      <c r="B8" s="9"/>
      <c r="C8" s="12"/>
    </row>
    <row r="9" spans="1:7" ht="18">
      <c r="A9" s="8"/>
      <c r="B9" s="16"/>
      <c r="C9" s="13"/>
      <c r="D9" s="17"/>
      <c r="E9" s="48" t="s">
        <v>109</v>
      </c>
      <c r="F9" s="17"/>
      <c r="G9" s="17"/>
    </row>
    <row r="10" spans="1:7" ht="18">
      <c r="A10" s="8"/>
      <c r="B10" s="16"/>
      <c r="C10" s="52">
        <v>0.02</v>
      </c>
      <c r="D10" s="52">
        <v>0.025</v>
      </c>
      <c r="E10" s="49">
        <v>0.03</v>
      </c>
      <c r="F10" s="52">
        <v>0.035</v>
      </c>
      <c r="G10" s="52">
        <v>0.04</v>
      </c>
    </row>
    <row r="11" spans="1:7" ht="18">
      <c r="A11" s="9"/>
      <c r="B11" s="9"/>
      <c r="C11" s="53" t="s">
        <v>110</v>
      </c>
      <c r="D11" s="53" t="s">
        <v>110</v>
      </c>
      <c r="E11" s="41" t="s">
        <v>110</v>
      </c>
      <c r="F11" s="53" t="s">
        <v>110</v>
      </c>
      <c r="G11" s="53" t="s">
        <v>110</v>
      </c>
    </row>
    <row r="12" spans="1:7" ht="18">
      <c r="A12" s="2"/>
      <c r="B12" s="18" t="s">
        <v>116</v>
      </c>
      <c r="C12" s="18" t="s">
        <v>5</v>
      </c>
      <c r="D12" s="18" t="s">
        <v>5</v>
      </c>
      <c r="E12" s="42" t="s">
        <v>5</v>
      </c>
      <c r="F12" s="18" t="s">
        <v>5</v>
      </c>
      <c r="G12" s="18" t="s">
        <v>5</v>
      </c>
    </row>
    <row r="13" spans="1:7" ht="18">
      <c r="A13" s="21"/>
      <c r="D13" s="1"/>
      <c r="E13" s="44"/>
      <c r="F13" s="1"/>
      <c r="G13" s="1"/>
    </row>
    <row r="14" spans="1:7" ht="18">
      <c r="A14" s="21" t="s">
        <v>18</v>
      </c>
      <c r="B14" s="1" t="s">
        <v>111</v>
      </c>
      <c r="C14" s="20">
        <v>4753.99</v>
      </c>
      <c r="D14" s="20">
        <v>4768.78</v>
      </c>
      <c r="E14" s="45">
        <f>+'State Projections'!C19</f>
        <v>4783.695713135434</v>
      </c>
      <c r="F14" s="20">
        <v>4798.35</v>
      </c>
      <c r="G14" s="20">
        <v>4813.14</v>
      </c>
    </row>
    <row r="15" spans="1:7" ht="18" hidden="1">
      <c r="A15" s="21" t="s">
        <v>20</v>
      </c>
      <c r="B15" s="1" t="s">
        <v>21</v>
      </c>
      <c r="C15" s="40" t="str">
        <f>+'State Projections'!$C21</f>
        <v>district data</v>
      </c>
      <c r="D15" s="40" t="str">
        <f>+'State Projections'!$C21</f>
        <v>district data</v>
      </c>
      <c r="E15" s="46" t="str">
        <f>+'State Projections'!C21</f>
        <v>district data</v>
      </c>
      <c r="F15" s="40" t="str">
        <f>+'State Projections'!$C21</f>
        <v>district data</v>
      </c>
      <c r="G15" s="40" t="str">
        <f>+'State Projections'!$C21</f>
        <v>district data</v>
      </c>
    </row>
    <row r="16" spans="1:7" ht="18" hidden="1">
      <c r="A16" s="21" t="s">
        <v>23</v>
      </c>
      <c r="B16" s="1" t="s">
        <v>9</v>
      </c>
      <c r="C16" s="1">
        <v>0.98</v>
      </c>
      <c r="D16" s="1">
        <v>0.98</v>
      </c>
      <c r="E16" s="45">
        <f>+'State Projections'!C22</f>
        <v>0.98</v>
      </c>
      <c r="F16" s="1">
        <v>0.98</v>
      </c>
      <c r="G16" s="1">
        <v>0.98</v>
      </c>
    </row>
    <row r="17" spans="1:7" ht="18" hidden="1">
      <c r="A17" s="21" t="s">
        <v>24</v>
      </c>
      <c r="B17" s="1" t="s">
        <v>11</v>
      </c>
      <c r="C17" s="1">
        <v>0.025</v>
      </c>
      <c r="D17" s="1">
        <v>0.025</v>
      </c>
      <c r="E17" s="45">
        <f>+'State Projections'!C23</f>
        <v>0.025</v>
      </c>
      <c r="F17" s="1">
        <v>0.025</v>
      </c>
      <c r="G17" s="1">
        <v>0.025</v>
      </c>
    </row>
    <row r="18" spans="1:7" ht="18" hidden="1">
      <c r="A18" s="21" t="s">
        <v>25</v>
      </c>
      <c r="B18" s="1" t="s">
        <v>13</v>
      </c>
      <c r="C18" s="40" t="str">
        <f>+'State Projections'!$C24</f>
        <v>district data</v>
      </c>
      <c r="D18" s="40" t="str">
        <f>+'State Projections'!$C24</f>
        <v>district data</v>
      </c>
      <c r="E18" s="45" t="str">
        <f>+'State Projections'!C24</f>
        <v>district data</v>
      </c>
      <c r="F18" s="40" t="str">
        <f>+'State Projections'!$C24</f>
        <v>district data</v>
      </c>
      <c r="G18" s="40" t="str">
        <f>+'State Projections'!$C24</f>
        <v>district data</v>
      </c>
    </row>
    <row r="19" spans="1:7" ht="18" hidden="1">
      <c r="A19" s="21" t="s">
        <v>26</v>
      </c>
      <c r="B19" s="1" t="s">
        <v>17</v>
      </c>
      <c r="C19" s="40" t="str">
        <f>+'State Projections'!$C25</f>
        <v>district data</v>
      </c>
      <c r="D19" s="40" t="str">
        <f>+'State Projections'!$C25</f>
        <v>district data</v>
      </c>
      <c r="E19" s="45" t="str">
        <f>+'State Projections'!C25</f>
        <v>district data</v>
      </c>
      <c r="F19" s="40" t="str">
        <f>+'State Projections'!$C25</f>
        <v>district data</v>
      </c>
      <c r="G19" s="40" t="str">
        <f>+'State Projections'!$C25</f>
        <v>district data</v>
      </c>
    </row>
    <row r="20" spans="1:7" ht="18">
      <c r="A20" s="21" t="s">
        <v>27</v>
      </c>
      <c r="B20" s="1" t="s">
        <v>112</v>
      </c>
      <c r="C20" s="20">
        <f>IF(C15="district data","",IF(C18="district data","",IF(C19="district data","",IF(C15&gt;=0,(((C15*C16)*C17)+C18)/C19))))</f>
      </c>
      <c r="D20" s="20">
        <f>IF(D15="district data","",IF(D18="district data","",IF(D19="district data","",IF(D15&gt;=0,(((D15*D16)*D17)+D18)/D19))))</f>
      </c>
      <c r="E20" s="45">
        <f>+'State Projections'!C26</f>
      </c>
      <c r="F20" s="20">
        <f>IF(F15="district data","",IF(F18="district data","",IF(F19="district data","",IF(F15&gt;=0,(((F15*F16)*F17)+F18)/F19))))</f>
      </c>
      <c r="G20" s="20">
        <f>IF(G15="district data","",IF(G18="district data","",IF(G19="district data","",IF(G15&gt;=0,(((G15*G16)*G17)+G18)/G19))))</f>
      </c>
    </row>
    <row r="21" spans="1:7" ht="18">
      <c r="A21" s="21" t="s">
        <v>29</v>
      </c>
      <c r="B21" s="1" t="s">
        <v>113</v>
      </c>
      <c r="C21" s="23">
        <f>IF(C20="","",IF(C20&gt;=0,(ROUND(C14-C20,2))))</f>
      </c>
      <c r="D21" s="23">
        <f>IF(D20="","",IF(D20&gt;=0,(ROUND(D14-D20,2))))</f>
      </c>
      <c r="E21" s="45">
        <f>+'State Projections'!C28</f>
      </c>
      <c r="F21" s="23">
        <f>IF(F20="","",IF(F20&gt;=0,(ROUND(F14-F20,2))))</f>
      </c>
      <c r="G21" s="23">
        <f>IF(G20="","",IF(G20&gt;=0,(ROUND(G14-G20,2))))</f>
      </c>
    </row>
    <row r="22" spans="1:7" ht="18">
      <c r="A22" s="21" t="s">
        <v>31</v>
      </c>
      <c r="B22" s="50" t="s">
        <v>15</v>
      </c>
      <c r="C22" s="22">
        <f>IF(C21="","",IF(C21&gt;=0,(C21*C19)))</f>
      </c>
      <c r="D22" s="22">
        <f>IF(D21="","",IF(D21&gt;=0,(D21*D19)))</f>
      </c>
      <c r="E22" s="46">
        <f>+'State Projections'!C29</f>
      </c>
      <c r="F22" s="22">
        <f>IF(F21="","",IF(F21&gt;=0,(F21*F19)))</f>
      </c>
      <c r="G22" s="22">
        <f>IF(G21="","",IF(G21&gt;=0,(G21*G19)))</f>
      </c>
    </row>
    <row r="23" spans="1:7" ht="18">
      <c r="A23" s="21"/>
      <c r="C23" s="28"/>
      <c r="D23" s="28"/>
      <c r="E23" s="45"/>
      <c r="F23" s="28"/>
      <c r="G23" s="28"/>
    </row>
    <row r="24" spans="1:7" ht="18" hidden="1">
      <c r="A24" s="21" t="s">
        <v>33</v>
      </c>
      <c r="B24" s="1" t="s">
        <v>133</v>
      </c>
      <c r="C24" s="23">
        <f>+C20</f>
      </c>
      <c r="D24" s="23">
        <f>+D20</f>
      </c>
      <c r="E24" s="45">
        <f>+'State Projections'!C31</f>
      </c>
      <c r="F24" s="23">
        <f>+F20</f>
      </c>
      <c r="G24" s="23">
        <f>+G20</f>
      </c>
    </row>
    <row r="25" spans="1:7" ht="18" hidden="1">
      <c r="A25" s="21" t="s">
        <v>35</v>
      </c>
      <c r="B25" s="1" t="s">
        <v>113</v>
      </c>
      <c r="C25" s="23">
        <f>+C21</f>
      </c>
      <c r="D25" s="23">
        <f>+D21</f>
      </c>
      <c r="E25" s="45">
        <f>+'State Projections'!C32</f>
      </c>
      <c r="F25" s="23">
        <f>+F21</f>
      </c>
      <c r="G25" s="23">
        <f>+G21</f>
      </c>
    </row>
    <row r="26" spans="1:7" ht="18">
      <c r="A26" s="21" t="s">
        <v>37</v>
      </c>
      <c r="B26" s="1" t="s">
        <v>47</v>
      </c>
      <c r="C26" s="28">
        <f>IF(C25="","",IF(C25&gt;=0,(1-(C24/C25))))</f>
      </c>
      <c r="D26" s="28">
        <f>IF(D25="","",IF(D25&gt;=0,(1-(D24/D25))))</f>
      </c>
      <c r="E26" s="47">
        <f>+'State Projections'!C33</f>
      </c>
      <c r="F26" s="28">
        <f>IF(F25="","",IF(F25&gt;=0,(1-(F24/F25))))</f>
      </c>
      <c r="G26" s="28">
        <f>IF(G25="","",IF(G25&gt;=0,(1-(G24/G25))))</f>
      </c>
    </row>
    <row r="27" spans="4:7" ht="18">
      <c r="D27" s="1"/>
      <c r="E27" s="45"/>
      <c r="F27" s="1"/>
      <c r="G27" s="1"/>
    </row>
    <row r="28" spans="4:7" ht="18" hidden="1">
      <c r="D28" s="1"/>
      <c r="E28" s="45"/>
      <c r="F28" s="1"/>
      <c r="G28" s="1"/>
    </row>
    <row r="29" spans="1:7" ht="18" hidden="1">
      <c r="A29" s="2" t="s">
        <v>39</v>
      </c>
      <c r="C29" s="18" t="s">
        <v>5</v>
      </c>
      <c r="D29" s="18" t="s">
        <v>106</v>
      </c>
      <c r="E29" s="43" t="str">
        <f>+'State Projections'!C36</f>
        <v>2002-03</v>
      </c>
      <c r="F29" s="18" t="s">
        <v>107</v>
      </c>
      <c r="G29" s="18" t="s">
        <v>108</v>
      </c>
    </row>
    <row r="30" spans="1:7" ht="18" hidden="1">
      <c r="A30" s="21"/>
      <c r="D30" s="1"/>
      <c r="E30" s="45"/>
      <c r="F30" s="1"/>
      <c r="G30" s="1"/>
    </row>
    <row r="31" spans="1:7" ht="18" hidden="1">
      <c r="A31" s="21" t="s">
        <v>40</v>
      </c>
      <c r="B31" s="1" t="s">
        <v>41</v>
      </c>
      <c r="C31" s="40" t="str">
        <f>+'State Projections'!$C38</f>
        <v>district data</v>
      </c>
      <c r="D31" s="40" t="str">
        <f>+'State Projections'!$C38</f>
        <v>district data</v>
      </c>
      <c r="E31" s="45"/>
      <c r="F31" s="40" t="str">
        <f>+'State Projections'!$C38</f>
        <v>district data</v>
      </c>
      <c r="G31" s="40" t="str">
        <f>+'State Projections'!$C38</f>
        <v>district data</v>
      </c>
    </row>
    <row r="32" spans="1:7" ht="18" hidden="1">
      <c r="A32" s="21" t="s">
        <v>42</v>
      </c>
      <c r="B32" s="1" t="s">
        <v>43</v>
      </c>
      <c r="C32" s="22">
        <f>IF(C15="district data","",IF(C15&gt;=0,C15))</f>
      </c>
      <c r="D32" s="22">
        <f>IF(D15="district data","",IF(D15&gt;=0,D15))</f>
      </c>
      <c r="E32" s="45"/>
      <c r="F32" s="22">
        <f>IF(F15="district data","",IF(F15&gt;=0,F15))</f>
      </c>
      <c r="G32" s="22">
        <f>IF(G15="district data","",IF(G15&gt;=0,G15))</f>
      </c>
    </row>
    <row r="33" spans="1:7" ht="18" hidden="1">
      <c r="A33" s="21" t="s">
        <v>44</v>
      </c>
      <c r="B33" s="1" t="s">
        <v>45</v>
      </c>
      <c r="C33" s="29">
        <f>IF(C31="district data","",IF(C31&gt;=0,(ROUND(C31/C32,5))))</f>
      </c>
      <c r="D33" s="29">
        <f>IF(D31="district data","",IF(D31&gt;=0,(ROUND(D31/D32,5))))</f>
      </c>
      <c r="E33" s="45"/>
      <c r="F33" s="29">
        <f>IF(F31="district data","",IF(F31&gt;=0,(ROUND(F31/F32,5))))</f>
      </c>
      <c r="G33" s="29">
        <f>IF(G31="district data","",IF(G31&gt;=0,(ROUND(G31/G32,5))))</f>
      </c>
    </row>
    <row r="34" spans="1:7" ht="18" hidden="1">
      <c r="A34" s="21" t="s">
        <v>46</v>
      </c>
      <c r="B34" s="1" t="s">
        <v>47</v>
      </c>
      <c r="C34" s="30">
        <f>IF(C26="","",IF(C26&lt;&gt;0,(ROUND(C26/1,5))))</f>
      </c>
      <c r="D34" s="30">
        <f>IF(D26="","",IF(D26&lt;&gt;0,(ROUND(D26/1,5))))</f>
      </c>
      <c r="E34" s="45"/>
      <c r="F34" s="30">
        <f>IF(F26="","",IF(F26&lt;&gt;0,(ROUND(F26/1,5))))</f>
      </c>
      <c r="G34" s="30">
        <f>IF(G26="","",IF(G26&lt;&gt;0,(ROUND(G26/1,5))))</f>
      </c>
    </row>
    <row r="35" spans="1:7" ht="18" hidden="1">
      <c r="A35" s="21" t="s">
        <v>48</v>
      </c>
      <c r="B35" s="1" t="s">
        <v>17</v>
      </c>
      <c r="C35" s="31">
        <f>IF(C19="district data","",IF(C19&gt;=0,C19))</f>
      </c>
      <c r="D35" s="31">
        <f>IF(D19="district data","",IF(D19&gt;=0,D19))</f>
      </c>
      <c r="E35" s="45"/>
      <c r="F35" s="31">
        <f>IF(F19="district data","",IF(F19&gt;=0,F19))</f>
      </c>
      <c r="G35" s="31">
        <f>IF(G19="district data","",IF(G19&gt;=0,G19))</f>
      </c>
    </row>
    <row r="36" spans="1:7" ht="16.5">
      <c r="A36" s="21" t="s">
        <v>49</v>
      </c>
      <c r="B36" s="1" t="s">
        <v>132</v>
      </c>
      <c r="C36" s="20">
        <v>18.22</v>
      </c>
      <c r="D36" s="20">
        <v>18.22</v>
      </c>
      <c r="E36" s="20">
        <v>18.22</v>
      </c>
      <c r="F36" s="20">
        <v>18.22</v>
      </c>
      <c r="G36" s="20">
        <v>18.22</v>
      </c>
    </row>
    <row r="37" spans="1:7" ht="18">
      <c r="A37" s="21" t="s">
        <v>51</v>
      </c>
      <c r="B37" s="50" t="s">
        <v>61</v>
      </c>
      <c r="C37" s="12">
        <f>IF(C31="district data","",IF(C31&gt;=0,(ROUND((C33*C34*C35*C36)*1000,0))))</f>
      </c>
      <c r="D37" s="12">
        <f>IF(D31="district data","",IF(D31&gt;=0,(ROUND((D33*D34*D35*D36)*1000,0))))</f>
      </c>
      <c r="E37" s="46">
        <f>+'State Projections'!C44</f>
      </c>
      <c r="F37" s="12">
        <f>IF(F31="district data","",IF(F31&gt;=0,(ROUND((F33*F34*F35*F36)*1000,0))))</f>
      </c>
      <c r="G37" s="12">
        <f>IF(G31="district data","",IF(G31&gt;=0,(ROUND((G33*G34*G35*G36)*1000,0))))</f>
      </c>
    </row>
    <row r="38" spans="4:7" ht="18">
      <c r="D38" s="1"/>
      <c r="E38" s="45"/>
      <c r="F38" s="1"/>
      <c r="G38" s="1"/>
    </row>
    <row r="39" spans="4:7" ht="18" hidden="1">
      <c r="D39" s="1"/>
      <c r="E39" s="45"/>
      <c r="F39" s="1"/>
      <c r="G39" s="1"/>
    </row>
    <row r="40" spans="1:7" ht="18" hidden="1">
      <c r="A40" s="2" t="s">
        <v>53</v>
      </c>
      <c r="C40" s="18" t="s">
        <v>5</v>
      </c>
      <c r="D40" s="18" t="s">
        <v>106</v>
      </c>
      <c r="E40" s="43" t="str">
        <f>+'State Projections'!C47</f>
        <v>2002-03</v>
      </c>
      <c r="F40" s="18" t="s">
        <v>107</v>
      </c>
      <c r="G40" s="18" t="s">
        <v>108</v>
      </c>
    </row>
    <row r="41" spans="1:7" ht="18" hidden="1">
      <c r="A41" s="2"/>
      <c r="C41" s="18"/>
      <c r="D41" s="18"/>
      <c r="E41" s="43"/>
      <c r="F41" s="18"/>
      <c r="G41" s="18"/>
    </row>
    <row r="42" spans="1:7" ht="18" hidden="1">
      <c r="A42" s="20" t="str">
        <f>+'State Projections'!A65</f>
        <v>ln 41</v>
      </c>
      <c r="B42" s="1" t="s">
        <v>117</v>
      </c>
      <c r="C42" s="20">
        <f>+'State Projections'!$C65</f>
      </c>
      <c r="D42" s="20">
        <f>+'State Projections'!$C65</f>
      </c>
      <c r="E42" s="45">
        <f>+'State Projections'!$C65</f>
      </c>
      <c r="F42" s="20">
        <f>+'State Projections'!$C65</f>
      </c>
      <c r="G42" s="20">
        <f>+'State Projections'!$C65</f>
      </c>
    </row>
    <row r="43" spans="1:7" ht="18" hidden="1">
      <c r="A43" s="21" t="s">
        <v>54</v>
      </c>
      <c r="B43" s="1" t="s">
        <v>43</v>
      </c>
      <c r="C43" s="32">
        <f>+C32</f>
      </c>
      <c r="D43" s="32">
        <f>+D32</f>
      </c>
      <c r="E43" s="45">
        <f>+'State Projections'!C49</f>
      </c>
      <c r="F43" s="32">
        <f>+F32</f>
      </c>
      <c r="G43" s="32">
        <f>+G32</f>
      </c>
    </row>
    <row r="44" spans="1:7" ht="18" hidden="1">
      <c r="A44" s="21" t="s">
        <v>55</v>
      </c>
      <c r="B44" s="1" t="s">
        <v>56</v>
      </c>
      <c r="C44" s="51" t="str">
        <f>+'State Projections'!$C50</f>
        <v>district data</v>
      </c>
      <c r="D44" s="51" t="str">
        <f>+'State Projections'!$C50</f>
        <v>district data</v>
      </c>
      <c r="E44" s="47" t="str">
        <f>+'State Projections'!C50</f>
        <v>district data</v>
      </c>
      <c r="F44" s="51" t="str">
        <f>+'State Projections'!$C50</f>
        <v>district data</v>
      </c>
      <c r="G44" s="51" t="str">
        <f>+'State Projections'!$C50</f>
        <v>district data</v>
      </c>
    </row>
    <row r="45" spans="1:7" ht="18" hidden="1">
      <c r="A45" s="21" t="s">
        <v>57</v>
      </c>
      <c r="B45" s="1" t="s">
        <v>58</v>
      </c>
      <c r="C45" s="19">
        <f>IF(C43="","",IF(C43&gt;0,(C44*C43)))</f>
      </c>
      <c r="D45" s="19">
        <f>IF(D43="","",IF(D43&gt;0,(D44*D43)))</f>
      </c>
      <c r="E45" s="45">
        <f>+'State Projections'!C51</f>
      </c>
      <c r="F45" s="19">
        <f>IF(F43="","",IF(F43&gt;0,(F44*F43)))</f>
      </c>
      <c r="G45" s="19">
        <f>IF(G43="","",IF(G43&gt;0,(G44*G43)))</f>
      </c>
    </row>
    <row r="46" spans="1:7" ht="18" hidden="1">
      <c r="A46" s="21" t="s">
        <v>59</v>
      </c>
      <c r="B46" s="1" t="s">
        <v>41</v>
      </c>
      <c r="C46" s="19">
        <f>IF(C31="District Data","",IF(C31&gt;0,C31))</f>
      </c>
      <c r="D46" s="19">
        <f>IF(D31="District Data","",IF(D31&gt;0,D31))</f>
      </c>
      <c r="E46" s="45">
        <f>+'State Projections'!C52</f>
      </c>
      <c r="F46" s="19">
        <f>IF(F31="District Data","",IF(F31&gt;0,F31))</f>
      </c>
      <c r="G46" s="19">
        <f>IF(G31="District Data","",IF(G31&gt;0,G31))</f>
      </c>
    </row>
    <row r="47" spans="1:7" ht="18" hidden="1">
      <c r="A47" s="21" t="s">
        <v>60</v>
      </c>
      <c r="B47" s="1" t="s">
        <v>61</v>
      </c>
      <c r="C47" s="12">
        <f>IF(C37&gt;=0,C37,IF(C37&lt;0,0))</f>
      </c>
      <c r="D47" s="12">
        <f>IF(D37&gt;=0,D37,IF(D37&lt;0,0))</f>
      </c>
      <c r="E47" s="45">
        <f>+'State Projections'!C53</f>
      </c>
      <c r="F47" s="12">
        <f>IF(F37&gt;=0,F37,IF(F37&lt;0,0))</f>
      </c>
      <c r="G47" s="12">
        <f>IF(G37&gt;=0,G37,IF(G37&lt;0,0))</f>
      </c>
    </row>
    <row r="48" spans="1:7" ht="18" hidden="1">
      <c r="A48" s="21" t="s">
        <v>62</v>
      </c>
      <c r="B48" s="1" t="s">
        <v>63</v>
      </c>
      <c r="C48" s="28">
        <f>IF(C46="","",IF(C46&gt;=0,(ROUNDDOWN(((C45-C46)+C47)/C43,5))))</f>
      </c>
      <c r="D48" s="28">
        <f>IF(D46="","",IF(D46&gt;=0,(ROUNDDOWN(((D45-D46)+D47)/D43,5))))</f>
      </c>
      <c r="E48" s="47">
        <f>+'State Projections'!C54</f>
      </c>
      <c r="F48" s="28">
        <f>IF(F46="","",IF(F46&gt;=0,(ROUNDDOWN(((F45-F46)+F47)/F43,5))))</f>
      </c>
      <c r="G48" s="28">
        <f>IF(G46="","",IF(G46&gt;=0,(ROUNDDOWN(((G45-G46)+G47)/G43,5))))</f>
      </c>
    </row>
    <row r="49" spans="1:7" ht="18" hidden="1">
      <c r="A49" s="21" t="s">
        <v>64</v>
      </c>
      <c r="B49" s="1" t="s">
        <v>65</v>
      </c>
      <c r="C49" s="12">
        <f>IF(C18="district data","",IF(C18&gt;=0,C18/0.75))</f>
      </c>
      <c r="D49" s="12">
        <f>IF(D18="district data","",IF(D18&gt;=0,D18/0.75))</f>
      </c>
      <c r="E49" s="45">
        <f>+'State Projections'!C55</f>
      </c>
      <c r="F49" s="12">
        <f>IF(F18="district data","",IF(F18&gt;=0,F18/0.75))</f>
      </c>
      <c r="G49" s="12">
        <f>IF(G18="district data","",IF(G18&gt;=0,G18/0.75))</f>
      </c>
    </row>
    <row r="50" spans="1:7" ht="18" hidden="1">
      <c r="A50" s="21" t="s">
        <v>66</v>
      </c>
      <c r="B50" s="1" t="s">
        <v>67</v>
      </c>
      <c r="C50" s="12">
        <f>IF(C49="","",IF(C49&gt;=0,((((C43*C48*0.98))+C49))))</f>
      </c>
      <c r="D50" s="12">
        <f>IF(D49="","",IF(D49&gt;=0,((((D43*D48*0.98))+D49))))</f>
      </c>
      <c r="E50" s="45">
        <f>+'State Projections'!C56</f>
      </c>
      <c r="F50" s="12">
        <f>IF(F49="","",IF(F49&gt;=0,((((F43*F48*0.98))+F49))))</f>
      </c>
      <c r="G50" s="12">
        <f>IF(G49="","",IF(G49&gt;=0,((((G43*G48*0.98))+G49))))</f>
      </c>
    </row>
    <row r="51" spans="1:7" ht="18" hidden="1">
      <c r="A51" s="21"/>
      <c r="C51" s="12"/>
      <c r="D51" s="12"/>
      <c r="E51" s="45">
        <f>+'State Projections'!C57</f>
        <v>0</v>
      </c>
      <c r="F51" s="12"/>
      <c r="G51" s="12"/>
    </row>
    <row r="52" spans="1:7" ht="18" hidden="1">
      <c r="A52" s="21" t="s">
        <v>68</v>
      </c>
      <c r="B52" s="1" t="s">
        <v>69</v>
      </c>
      <c r="C52" s="40" t="str">
        <f>+'State Projections'!$C58</f>
        <v>district data</v>
      </c>
      <c r="D52" s="40" t="str">
        <f>+'State Projections'!$C58</f>
        <v>district data</v>
      </c>
      <c r="E52" s="45" t="str">
        <f>+'State Projections'!C58</f>
        <v>district data</v>
      </c>
      <c r="F52" s="40" t="str">
        <f>+'State Projections'!$C58</f>
        <v>district data</v>
      </c>
      <c r="G52" s="40" t="str">
        <f>+'State Projections'!$C58</f>
        <v>district data</v>
      </c>
    </row>
    <row r="53" spans="1:7" ht="18" hidden="1">
      <c r="A53" s="21" t="s">
        <v>70</v>
      </c>
      <c r="B53" s="1" t="s">
        <v>71</v>
      </c>
      <c r="C53" s="12">
        <f>+C22</f>
      </c>
      <c r="D53" s="12">
        <f>+D22</f>
      </c>
      <c r="E53" s="45">
        <f>+'State Projections'!C59</f>
      </c>
      <c r="F53" s="12">
        <f>+F22</f>
      </c>
      <c r="G53" s="12">
        <f>+G22</f>
      </c>
    </row>
    <row r="54" spans="1:7" ht="18" hidden="1">
      <c r="A54" s="21" t="s">
        <v>72</v>
      </c>
      <c r="B54" s="1" t="s">
        <v>73</v>
      </c>
      <c r="C54" s="40" t="str">
        <f>+'State Projections'!$C60</f>
        <v>district data</v>
      </c>
      <c r="D54" s="40" t="str">
        <f>+'State Projections'!$C60</f>
        <v>district data</v>
      </c>
      <c r="E54" s="45" t="str">
        <f>+'State Projections'!C60</f>
        <v>district data</v>
      </c>
      <c r="F54" s="40" t="str">
        <f>+'State Projections'!$C60</f>
        <v>district data</v>
      </c>
      <c r="G54" s="40" t="str">
        <f>+'State Projections'!$C60</f>
        <v>district data</v>
      </c>
    </row>
    <row r="55" spans="1:7" ht="18" hidden="1">
      <c r="A55" s="21" t="s">
        <v>74</v>
      </c>
      <c r="B55" s="1" t="s">
        <v>75</v>
      </c>
      <c r="C55" s="12">
        <f>IF(C52&lt;=C19,0,IF(C52&gt;C19,(((C52-C19)*C14))))</f>
        <v>0</v>
      </c>
      <c r="D55" s="12">
        <f>IF(D52&lt;=D19,0,IF(D52&gt;D19,(((D52-D19)*D14))))</f>
        <v>0</v>
      </c>
      <c r="E55" s="45">
        <f>+'State Projections'!C61</f>
        <v>0</v>
      </c>
      <c r="F55" s="12">
        <f>IF(F52&lt;=F19,0,IF(F52&gt;F19,(((F52-F19)*F14))))</f>
        <v>0</v>
      </c>
      <c r="G55" s="12">
        <f>IF(G52&lt;=G19,0,IF(G52&gt;G19,(((G52-G19)*G14))))</f>
        <v>0</v>
      </c>
    </row>
    <row r="56" spans="1:7" ht="18" hidden="1">
      <c r="A56" s="21" t="s">
        <v>76</v>
      </c>
      <c r="B56" s="1" t="s">
        <v>77</v>
      </c>
      <c r="C56" s="40" t="str">
        <f>+'State Projections'!$C62</f>
        <v>district data</v>
      </c>
      <c r="D56" s="40" t="str">
        <f>+'State Projections'!$C62</f>
        <v>district data</v>
      </c>
      <c r="E56" s="45" t="str">
        <f>+'State Projections'!C62</f>
        <v>district data</v>
      </c>
      <c r="F56" s="40" t="str">
        <f>+'State Projections'!$C62</f>
        <v>district data</v>
      </c>
      <c r="G56" s="40" t="str">
        <f>+'State Projections'!$C62</f>
        <v>district data</v>
      </c>
    </row>
    <row r="57" spans="1:7" ht="18" hidden="1">
      <c r="A57" s="21" t="s">
        <v>78</v>
      </c>
      <c r="B57" s="1" t="s">
        <v>79</v>
      </c>
      <c r="C57" s="22">
        <f>+C50</f>
      </c>
      <c r="D57" s="22">
        <f>+D50</f>
      </c>
      <c r="E57" s="45">
        <f>+'State Projections'!C63</f>
      </c>
      <c r="F57" s="22">
        <f>+F50</f>
      </c>
      <c r="G57" s="22">
        <f>+G50</f>
      </c>
    </row>
    <row r="58" spans="1:7" ht="18" hidden="1">
      <c r="A58" s="21" t="s">
        <v>80</v>
      </c>
      <c r="B58" s="1" t="s">
        <v>81</v>
      </c>
      <c r="C58" s="20">
        <f>IF(C52="district data","",IF(C52&gt;=C19,C52,IF(C52&lt;C19,C19)))</f>
      </c>
      <c r="D58" s="20">
        <f>IF(D52="district data","",IF(D52&gt;=D19,D52,IF(D52&lt;D19,D19)))</f>
      </c>
      <c r="E58" s="45">
        <f>+'State Projections'!C64</f>
      </c>
      <c r="F58" s="20">
        <f>IF(F52="district data","",IF(F52&gt;=F19,F52,IF(F52&lt;F19,F19)))</f>
      </c>
      <c r="G58" s="20">
        <f>IF(G52="district data","",IF(G52&gt;=G19,G52,IF(G52&lt;G19,G19)))</f>
      </c>
    </row>
    <row r="59" spans="1:7" ht="18" hidden="1">
      <c r="A59" s="21"/>
      <c r="C59" s="20"/>
      <c r="D59" s="20"/>
      <c r="E59" s="45"/>
      <c r="F59" s="20"/>
      <c r="G59" s="20"/>
    </row>
    <row r="60" spans="1:7" ht="18" hidden="1">
      <c r="A60" s="21"/>
      <c r="C60" s="20"/>
      <c r="D60" s="20"/>
      <c r="E60" s="45"/>
      <c r="F60" s="20"/>
      <c r="G60" s="20"/>
    </row>
    <row r="61" spans="1:7" ht="18">
      <c r="A61" s="21" t="s">
        <v>82</v>
      </c>
      <c r="B61" s="1" t="s">
        <v>117</v>
      </c>
      <c r="C61" s="20">
        <f>IF(C43="","",IF(C43&gt;0,((C53+C54+C55+C56+C57)/C58)))</f>
      </c>
      <c r="D61" s="20">
        <f>IF(D43="","",IF(D43&gt;0,((D53+D54+D55+D56+D57)/D58)))</f>
      </c>
      <c r="E61" s="45">
        <f>+'State Projections'!C65</f>
      </c>
      <c r="F61" s="20">
        <f>IF(F43="","",IF(F43&gt;0,((F53+F54+F55+F56+F57)/F58)))</f>
      </c>
      <c r="G61" s="20">
        <f>IF(G43="","",IF(G43&gt;0,((G53+G54+G55+G56+G57)/G58)))</f>
      </c>
    </row>
    <row r="62" spans="1:7" ht="18" hidden="1">
      <c r="A62" s="21"/>
      <c r="D62" s="1"/>
      <c r="E62" s="45">
        <f>+'State Projections'!C66</f>
        <v>0</v>
      </c>
      <c r="F62" s="1"/>
      <c r="G62" s="1"/>
    </row>
    <row r="63" spans="1:7" ht="18">
      <c r="A63" s="21" t="s">
        <v>80</v>
      </c>
      <c r="B63" s="1" t="s">
        <v>83</v>
      </c>
      <c r="C63" s="26">
        <v>5037.53</v>
      </c>
      <c r="D63" s="26">
        <v>5049.36</v>
      </c>
      <c r="E63" s="45">
        <f>+'State Projections'!C67</f>
        <v>5061.43</v>
      </c>
      <c r="F63" s="26">
        <v>5074.1</v>
      </c>
      <c r="G63" s="26">
        <v>5086.89</v>
      </c>
    </row>
    <row r="64" spans="1:7" ht="18" hidden="1">
      <c r="A64" s="21" t="s">
        <v>82</v>
      </c>
      <c r="B64" s="1" t="s">
        <v>84</v>
      </c>
      <c r="C64" s="23">
        <f>IF(C61="","",IF(C61&gt;=0,(ROUND(C63-C61,2))))</f>
      </c>
      <c r="D64" s="23">
        <f>IF(D61="","",IF(D61&gt;=0,(ROUND(D63-D61,2))))</f>
      </c>
      <c r="E64" s="45">
        <f>+'State Projections'!C68</f>
      </c>
      <c r="F64" s="23">
        <f>IF(F61="","",IF(F61&gt;=0,(ROUND(F63-F61,2))))</f>
      </c>
      <c r="G64" s="23">
        <f>IF(G61="","",IF(G61&gt;=0,(ROUND(G63-G61,2))))</f>
      </c>
    </row>
    <row r="65" spans="1:7" ht="18">
      <c r="A65" s="21" t="s">
        <v>85</v>
      </c>
      <c r="B65" s="50" t="s">
        <v>115</v>
      </c>
      <c r="C65" s="34">
        <f>IF(C64="","",IF(C64&gt;0,(C64*C58),IF(C64&lt;=0,"0")))</f>
      </c>
      <c r="D65" s="34">
        <f>IF(D64="","",IF(D64&gt;0,(D64*D58),IF(D64&lt;=0,"0")))</f>
      </c>
      <c r="E65" s="55">
        <f>+'State Projections'!C69</f>
      </c>
      <c r="F65" s="34">
        <f>IF(F64="","",IF(F64&gt;0,(F64*F58),IF(F64&lt;=0,"0")))</f>
      </c>
      <c r="G65" s="34">
        <f>IF(G64="","",IF(G64&gt;0,(G64*G58),IF(G64&lt;=0,"0")))</f>
      </c>
    </row>
    <row r="66" spans="1:7" ht="18" hidden="1">
      <c r="A66" s="21"/>
      <c r="C66" s="35"/>
      <c r="D66" s="35"/>
      <c r="E66" s="46"/>
      <c r="F66" s="35"/>
      <c r="G66" s="35"/>
    </row>
    <row r="67" spans="1:7" ht="18" hidden="1">
      <c r="A67" s="21"/>
      <c r="D67" s="1"/>
      <c r="E67" s="46"/>
      <c r="F67" s="1"/>
      <c r="G67" s="1"/>
    </row>
    <row r="68" spans="1:7" ht="18" hidden="1">
      <c r="A68" s="2" t="s">
        <v>86</v>
      </c>
      <c r="C68" s="18" t="s">
        <v>5</v>
      </c>
      <c r="D68" s="18" t="s">
        <v>106</v>
      </c>
      <c r="E68" s="56" t="str">
        <f>+'State Projections'!C72</f>
        <v>2002-03</v>
      </c>
      <c r="F68" s="18" t="s">
        <v>107</v>
      </c>
      <c r="G68" s="18" t="s">
        <v>108</v>
      </c>
    </row>
    <row r="69" spans="1:7" ht="18" hidden="1">
      <c r="A69" s="21"/>
      <c r="D69" s="1"/>
      <c r="E69" s="46"/>
      <c r="F69" s="1"/>
      <c r="G69" s="1"/>
    </row>
    <row r="70" spans="1:7" ht="18" hidden="1">
      <c r="A70" s="21" t="s">
        <v>87</v>
      </c>
      <c r="B70" s="1" t="s">
        <v>88</v>
      </c>
      <c r="C70" s="22">
        <f>+C43</f>
      </c>
      <c r="D70" s="22">
        <f>+D43</f>
      </c>
      <c r="E70" s="46">
        <f>+'State Projections'!C74</f>
      </c>
      <c r="F70" s="22">
        <f>+F43</f>
      </c>
      <c r="G70" s="22">
        <f>+G43</f>
      </c>
    </row>
    <row r="71" spans="1:7" ht="18" hidden="1">
      <c r="A71" s="21" t="s">
        <v>89</v>
      </c>
      <c r="B71" s="1" t="s">
        <v>90</v>
      </c>
      <c r="C71" s="28">
        <f>IF(C48="","",IF(C48&gt;0,C48-0.025))</f>
      </c>
      <c r="D71" s="28">
        <f>IF(D48="","",IF(D48&gt;0,D48-0.025))</f>
      </c>
      <c r="E71" s="47">
        <f>+'State Projections'!C75</f>
      </c>
      <c r="F71" s="28">
        <f>IF(F48="","",IF(F48&gt;0,F48-0.025))</f>
      </c>
      <c r="G71" s="28">
        <f>IF(G48="","",IF(G48&gt;0,G48-0.025))</f>
      </c>
    </row>
    <row r="72" spans="1:7" ht="18" hidden="1">
      <c r="A72" s="21" t="s">
        <v>91</v>
      </c>
      <c r="B72" s="1" t="s">
        <v>81</v>
      </c>
      <c r="C72" s="20">
        <f>+C58</f>
      </c>
      <c r="D72" s="20">
        <f>+D58</f>
      </c>
      <c r="E72" s="46">
        <f>+'State Projections'!C76</f>
      </c>
      <c r="F72" s="20">
        <f>+F58</f>
      </c>
      <c r="G72" s="20">
        <f>+G58</f>
      </c>
    </row>
    <row r="73" spans="1:7" ht="18" hidden="1">
      <c r="A73" s="21" t="s">
        <v>92</v>
      </c>
      <c r="B73" s="1" t="s">
        <v>93</v>
      </c>
      <c r="C73" s="20">
        <f>IF(C70="","",IF(C70&gt;=0,(((C70*0.98)*C71)/C72)))</f>
      </c>
      <c r="D73" s="20">
        <f>IF(D70="","",IF(D70&gt;=0,(((D70*0.98)*D71)/D72)))</f>
      </c>
      <c r="E73" s="45">
        <f>+'State Projections'!C77</f>
      </c>
      <c r="F73" s="20">
        <f>IF(F70="","",IF(F70&gt;=0,(((F70*0.98)*F71)/F72)))</f>
      </c>
      <c r="G73" s="20">
        <f>IF(G70="","",IF(G70&gt;=0,(((G70*0.98)*G71)/G72)))</f>
      </c>
    </row>
    <row r="74" spans="1:7" ht="18" hidden="1">
      <c r="A74" s="21" t="s">
        <v>94</v>
      </c>
      <c r="B74" s="1" t="s">
        <v>95</v>
      </c>
      <c r="C74" s="23">
        <f>IF(C49="","",IF(C49&gt;=0,(ROUND((C49*0.25)/C58,2))))</f>
      </c>
      <c r="D74" s="23">
        <f>IF(D49="","",IF(D49&gt;=0,(ROUND((D49*0.25)/D58,2))))</f>
      </c>
      <c r="E74" s="46">
        <f>+'State Projections'!C78</f>
      </c>
      <c r="F74" s="23">
        <f>IF(F49="","",IF(F49&gt;=0,(ROUND((F49*0.25)/F58,2))))</f>
      </c>
      <c r="G74" s="23">
        <f>IF(G49="","",IF(G49&gt;=0,(ROUND((G49*0.25)/G58,2))))</f>
      </c>
    </row>
    <row r="75" spans="1:7" ht="18" hidden="1">
      <c r="A75" s="21" t="s">
        <v>96</v>
      </c>
      <c r="B75" s="1" t="s">
        <v>97</v>
      </c>
      <c r="C75" s="20">
        <f>+C61</f>
      </c>
      <c r="D75" s="20">
        <f>+D61</f>
      </c>
      <c r="E75" s="46">
        <f>+'State Projections'!C79</f>
      </c>
      <c r="F75" s="20">
        <f>+F61</f>
      </c>
      <c r="G75" s="20">
        <f>+G61</f>
      </c>
    </row>
    <row r="76" spans="1:7" ht="18" hidden="1">
      <c r="A76" s="21" t="s">
        <v>98</v>
      </c>
      <c r="B76" s="1" t="s">
        <v>99</v>
      </c>
      <c r="C76" s="20">
        <f>IF(C75="","",IF(C75&gt;=0,(C75-(C74+C73))))</f>
      </c>
      <c r="D76" s="20">
        <f>IF(D75="","",IF(D75&gt;=0,(D75-(D74+D73))))</f>
      </c>
      <c r="E76" s="46">
        <f>+'State Projections'!C80</f>
      </c>
      <c r="F76" s="20">
        <f>IF(F75="","",IF(F75&gt;=0,(F75-(F74+F73))))</f>
      </c>
      <c r="G76" s="20">
        <f>IF(G75="","",IF(G75&gt;=0,(G75-(G74+G73))))</f>
      </c>
    </row>
    <row r="77" spans="1:7" ht="18" hidden="1">
      <c r="A77" s="21" t="s">
        <v>100</v>
      </c>
      <c r="B77" s="1" t="s">
        <v>101</v>
      </c>
      <c r="C77" s="20">
        <f>IF(C76="","",IF(C76&gt;=0,C63-C76))</f>
      </c>
      <c r="D77" s="20">
        <f>IF(D76="","",IF(D76&gt;=0,D63-D76))</f>
      </c>
      <c r="E77" s="46">
        <f>+'State Projections'!C81</f>
      </c>
      <c r="F77" s="20">
        <f>IF(F76="","",IF(F76&gt;=0,F63-F76))</f>
      </c>
      <c r="G77" s="20">
        <f>IF(G76="","",IF(G76&gt;=0,G63-G76))</f>
      </c>
    </row>
    <row r="78" spans="1:7" ht="18" hidden="1">
      <c r="A78" s="21" t="s">
        <v>102</v>
      </c>
      <c r="B78" s="1" t="s">
        <v>103</v>
      </c>
      <c r="C78" s="36">
        <f>IF(C64&gt;0,+C64,IF(C64&lt;=0,"0"))</f>
      </c>
      <c r="D78" s="36">
        <f>IF(D64&gt;0,+D64,IF(D64&lt;=0,"0"))</f>
      </c>
      <c r="E78" s="46">
        <f>+'State Projections'!C82</f>
      </c>
      <c r="F78" s="36">
        <f>IF(F64&gt;0,+F64,IF(F64&lt;=0,"0"))</f>
      </c>
      <c r="G78" s="36">
        <f>IF(G64&gt;0,+G64,IF(G64&lt;=0,"0"))</f>
      </c>
    </row>
    <row r="79" spans="1:7" ht="18">
      <c r="A79" s="21" t="s">
        <v>104</v>
      </c>
      <c r="B79" s="50" t="s">
        <v>114</v>
      </c>
      <c r="C79" s="37">
        <f>IF(C78="","",IF(C78&lt;=C77,(((C77-C78)*0.5)*C72),IF(C78&gt;C77,"0")))</f>
      </c>
      <c r="D79" s="37">
        <f>IF(D78="","",IF(D78&lt;=D77,(((D77-D78)*0.5)*D72),IF(D78&gt;D77,"0")))</f>
      </c>
      <c r="E79" s="55">
        <f>+'State Projections'!C83</f>
      </c>
      <c r="F79" s="37">
        <f>IF(F78="","",IF(F78&lt;=F77,(((F77-F78)*0.5)*F72),IF(F78&gt;F77,"0")))</f>
      </c>
      <c r="G79" s="37">
        <f>IF(G78="","",IF(G78&lt;=G77,(((G77-G78)*0.5)*G72),IF(G78&gt;G77,"0")))</f>
      </c>
    </row>
    <row r="80" spans="3:7" ht="16.5">
      <c r="C80" s="20"/>
      <c r="D80" s="20"/>
      <c r="E80" s="12"/>
      <c r="F80" s="20"/>
      <c r="G80" s="20"/>
    </row>
    <row r="81" spans="1:7" ht="18">
      <c r="A81" s="21" t="s">
        <v>120</v>
      </c>
      <c r="B81" s="1" t="s">
        <v>137</v>
      </c>
      <c r="C81" s="12"/>
      <c r="D81" s="12"/>
      <c r="E81" s="46"/>
      <c r="F81" s="12"/>
      <c r="G81" s="12"/>
    </row>
    <row r="82" spans="2:7" ht="18">
      <c r="B82" s="1" t="s">
        <v>71</v>
      </c>
      <c r="C82" s="34">
        <f>IF(C22="","",IF(C22&gt;=0,C22))</f>
      </c>
      <c r="D82" s="34">
        <f>IF(D22="","",IF(D22&gt;=0,D22))</f>
      </c>
      <c r="E82" s="55">
        <f>+'State Projections'!C86</f>
      </c>
      <c r="F82" s="34">
        <f>IF(F22="","",IF(F22&gt;=0,F22))</f>
      </c>
      <c r="G82" s="34">
        <f>IF(G22="","",IF(G22&gt;=0,G22))</f>
      </c>
    </row>
    <row r="83" spans="2:7" ht="18">
      <c r="B83" s="1" t="s">
        <v>73</v>
      </c>
      <c r="C83" s="34">
        <f>IF(C54="district data","",IF(C54&gt;=0,C54))</f>
      </c>
      <c r="D83" s="34">
        <f>IF(D54="district data","",IF(D54&gt;=0,D54))</f>
      </c>
      <c r="E83" s="55">
        <f>+'State Projections'!C87</f>
      </c>
      <c r="F83" s="34">
        <f>IF(F54="district data","",IF(F54&gt;=0,F54))</f>
      </c>
      <c r="G83" s="34">
        <f>IF(G54="district data","",IF(G54&gt;=0,G54))</f>
      </c>
    </row>
    <row r="84" spans="2:7" ht="18">
      <c r="B84" s="1" t="s">
        <v>135</v>
      </c>
      <c r="C84" s="37">
        <f>IF(C37="","",IF(C37&gt;=0,C37))</f>
      </c>
      <c r="D84" s="37">
        <f>IF(D37="","",IF(D37&gt;=0,D37))</f>
      </c>
      <c r="E84" s="55">
        <f>+'State Projections'!C88</f>
      </c>
      <c r="F84" s="37">
        <f>IF(F37="","",IF(F37&gt;=0,F37))</f>
      </c>
      <c r="G84" s="37">
        <f>IF(G37="","",IF(G37&gt;=0,G37))</f>
      </c>
    </row>
    <row r="85" spans="2:7" ht="18">
      <c r="B85" s="1" t="s">
        <v>77</v>
      </c>
      <c r="C85" s="34">
        <f>IF(C56="district data","",IF(C56&gt;=0,C56))</f>
      </c>
      <c r="D85" s="34">
        <f>IF(D56="district data","",IF(D56&gt;=0,D56))</f>
      </c>
      <c r="E85" s="55">
        <f>+'State Projections'!C89</f>
      </c>
      <c r="F85" s="34">
        <f>IF(F56="district data","",IF(F56&gt;=0,F56))</f>
      </c>
      <c r="G85" s="34">
        <f>IF(G56="district data","",IF(G56&gt;=0,G56))</f>
      </c>
    </row>
    <row r="86" spans="2:7" ht="18">
      <c r="B86" s="1" t="s">
        <v>75</v>
      </c>
      <c r="C86" s="34">
        <f>IF(C55=0,0,IF(C55&gt;=0,C55))</f>
        <v>0</v>
      </c>
      <c r="D86" s="34">
        <f>IF(D55=0,0,IF(D55&gt;=0,D55))</f>
        <v>0</v>
      </c>
      <c r="E86" s="55">
        <f>+'State Projections'!C90</f>
        <v>0</v>
      </c>
      <c r="F86" s="34">
        <f>IF(F55=0,0,IF(F55&gt;=0,F55))</f>
        <v>0</v>
      </c>
      <c r="G86" s="34">
        <f>IF(G55=0,0,IF(G55&gt;=0,G55))</f>
        <v>0</v>
      </c>
    </row>
    <row r="87" spans="2:7" ht="18">
      <c r="B87" s="1" t="s">
        <v>115</v>
      </c>
      <c r="C87" s="34">
        <f>IF(C65="","",IF(C65&gt;=0,C65))</f>
      </c>
      <c r="D87" s="34">
        <f>IF(D65="","",IF(D65&gt;=0,D65))</f>
      </c>
      <c r="E87" s="55">
        <f>+'State Projections'!C91</f>
      </c>
      <c r="F87" s="34">
        <f>IF(F65="","",IF(F65&gt;=0,F65))</f>
      </c>
      <c r="G87" s="34">
        <f>IF(G65="","",IF(G65&gt;=0,G65))</f>
      </c>
    </row>
    <row r="88" spans="2:7" ht="18">
      <c r="B88" s="1" t="s">
        <v>114</v>
      </c>
      <c r="C88" s="34">
        <f>IF(C79="","",IF(C79&gt;=0,C79))</f>
      </c>
      <c r="D88" s="34">
        <f>IF(D79="","",IF(D79&gt;=0,D79))</f>
      </c>
      <c r="E88" s="55">
        <f>+'State Projections'!C92</f>
      </c>
      <c r="F88" s="34">
        <f>IF(F79="","",IF(F79&gt;=0,F79))</f>
      </c>
      <c r="G88" s="34">
        <f>IF(G79="","",IF(G79&gt;=0,G79))</f>
      </c>
    </row>
    <row r="89" spans="2:7" ht="18">
      <c r="B89" s="1" t="s">
        <v>136</v>
      </c>
      <c r="C89" s="34">
        <f>IF(C82="","",IF(C82&gt;=0,C82+C83+C84+C85+C86+C87+C88))</f>
      </c>
      <c r="D89" s="34">
        <f>IF(D82="","",IF(D82&gt;=0,D82+D83+D84+D85+D86+D87+D88))</f>
      </c>
      <c r="E89" s="55">
        <f>+'State Projections'!C93</f>
      </c>
      <c r="F89" s="34">
        <f>IF(F82="","",IF(F82&gt;=0,F82+F83+F84+F85+F86+F87+F88))</f>
      </c>
      <c r="G89" s="34">
        <f>IF(G82="","",IF(G82&gt;=0,G82+G83+G84+G85+G86+G87+G88))</f>
      </c>
    </row>
    <row r="90" spans="3:7" ht="18">
      <c r="C90" s="12"/>
      <c r="D90" s="38"/>
      <c r="E90" s="45"/>
      <c r="F90" s="38"/>
      <c r="G90" s="38"/>
    </row>
    <row r="91" spans="3:7" ht="16.5">
      <c r="C91" s="12"/>
      <c r="D91" s="15"/>
      <c r="E91" s="15"/>
      <c r="F91" s="15"/>
      <c r="G91" s="15"/>
    </row>
    <row r="92" spans="3:7" ht="16.5">
      <c r="C92" s="12"/>
      <c r="D92" s="15"/>
      <c r="E92" s="15"/>
      <c r="F92" s="15"/>
      <c r="G92" s="15"/>
    </row>
    <row r="93" spans="3:7" ht="16.5">
      <c r="C93" s="12"/>
      <c r="D93" s="15"/>
      <c r="E93" s="15"/>
      <c r="F93" s="15"/>
      <c r="G93" s="15"/>
    </row>
    <row r="94" spans="3:7" ht="16.5">
      <c r="C94" s="31"/>
      <c r="D94" s="15"/>
      <c r="E94" s="15"/>
      <c r="F94" s="15"/>
      <c r="G94" s="15"/>
    </row>
    <row r="95" spans="3:7" ht="16.5">
      <c r="C95" s="12"/>
      <c r="D95" s="15"/>
      <c r="E95" s="15"/>
      <c r="F95" s="15"/>
      <c r="G95" s="15"/>
    </row>
    <row r="96" spans="4:7" ht="16.5">
      <c r="D96" s="15"/>
      <c r="E96" s="15"/>
      <c r="F96" s="15"/>
      <c r="G96" s="15"/>
    </row>
    <row r="97" spans="3:7" ht="16.5">
      <c r="C97" s="12"/>
      <c r="D97" s="15"/>
      <c r="E97" s="15"/>
      <c r="F97" s="15"/>
      <c r="G97" s="15"/>
    </row>
    <row r="98" spans="3:7" ht="16.5">
      <c r="C98" s="12"/>
      <c r="D98" s="15"/>
      <c r="E98" s="15"/>
      <c r="F98" s="15"/>
      <c r="G98" s="15"/>
    </row>
  </sheetData>
  <sheetProtection password="CABF" sheet="1" objects="1" scenarios="1"/>
  <printOptions horizontalCentered="1"/>
  <pageMargins left="0" right="0" top="0.5" bottom="0.5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Martin</dc:creator>
  <cp:keywords/>
  <dc:description/>
  <cp:lastModifiedBy>ADE Employee</cp:lastModifiedBy>
  <cp:lastPrinted>2002-05-24T17:27:31Z</cp:lastPrinted>
  <dcterms:created xsi:type="dcterms:W3CDTF">2002-05-20T21:31:42Z</dcterms:created>
  <dcterms:modified xsi:type="dcterms:W3CDTF">2002-05-28T14:10:06Z</dcterms:modified>
  <cp:category/>
  <cp:version/>
  <cp:contentType/>
  <cp:contentStatus/>
</cp:coreProperties>
</file>